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tabRatio="971" firstSheet="5" activeTab="7"/>
  </bookViews>
  <sheets>
    <sheet name=" Schedule 1 - Rev by Source" sheetId="1" r:id="rId1"/>
    <sheet name="Schedule 2 -Opex by Vote" sheetId="2" r:id="rId2"/>
    <sheet name="Schedule 2(a) -Opex by GFS" sheetId="3" r:id="rId3"/>
    <sheet name="Schedule 2(b) - Opex by Type" sheetId="4" r:id="rId4"/>
    <sheet name="Schedule 3 - Capex by Vote" sheetId="5" r:id="rId5"/>
    <sheet name="Schedule 3(a) - Capex by GFS" sheetId="6" r:id="rId6"/>
    <sheet name="Schedule 4 - Capex Funding" sheetId="7" r:id="rId7"/>
    <sheet name="Salaries" sheetId="8" r:id="rId8"/>
    <sheet name="Personnel cost^" sheetId="9" r:id="rId9"/>
    <sheet name="Cash flow" sheetId="10" r:id="rId10"/>
    <sheet name="Abattoir tariffs" sheetId="11" r:id="rId11"/>
    <sheet name="Reviewed IDP" sheetId="12" r:id="rId12"/>
  </sheets>
  <externalReferences>
    <externalReference r:id="rId15"/>
  </externalReferences>
  <definedNames>
    <definedName name="_xlnm.Print_Area" localSheetId="0">' Schedule 1 - Rev by Source'!$A$1:$H$33</definedName>
    <definedName name="_xlnm.Print_Area" localSheetId="9">'Cash flow'!$A$1:$P$55</definedName>
    <definedName name="_xlnm.Print_Area" localSheetId="8">'Personnel cost^'!$A$1:$H$48</definedName>
    <definedName name="_xlnm.Print_Area" localSheetId="11">'Reviewed IDP'!$A$1:$K$81</definedName>
    <definedName name="_xlnm.Print_Area" localSheetId="7">'Salaries'!$A$1:$G$32</definedName>
    <definedName name="_xlnm.Print_Area" localSheetId="1">'Schedule 2 -Opex by Vote'!$A$1:$H$33</definedName>
    <definedName name="_xlnm.Print_Area" localSheetId="2">'Schedule 2(a) -Opex by GFS'!$A$1:$H$34</definedName>
    <definedName name="_xlnm.Print_Area" localSheetId="4">'Schedule 3 - Capex by Vote'!$A$1:$H$34</definedName>
    <definedName name="_xlnm.Print_Area" localSheetId="5">'Schedule 3(a) - Capex by GFS'!$B$1:$I$34</definedName>
    <definedName name="_xlnm.Print_Area" localSheetId="6">'Schedule 4 - Capex Funding'!$A$1:$H$41</definedName>
    <definedName name="_xlnm.Print_Titles" localSheetId="11">'Reviewed IDP'!$6:$7</definedName>
  </definedNames>
  <calcPr fullCalcOnLoad="1"/>
</workbook>
</file>

<file path=xl/comments12.xml><?xml version="1.0" encoding="utf-8"?>
<comments xmlns="http://schemas.openxmlformats.org/spreadsheetml/2006/main">
  <authors>
    <author>ndejager</author>
  </authors>
  <commentList>
    <comment ref="G30" authorId="0">
      <text>
        <r>
          <rPr>
            <b/>
            <sz val="8"/>
            <rFont val="Tahoma"/>
            <family val="2"/>
          </rPr>
          <t>ndejager:</t>
        </r>
        <r>
          <rPr>
            <sz val="8"/>
            <rFont val="Tahoma"/>
            <family val="2"/>
          </rPr>
          <t xml:space="preserve">
This includes branding, promotion of icons, the roll out of the brand by BAM &amp; the tourism indaba.</t>
        </r>
      </text>
    </comment>
    <comment ref="G31" authorId="0">
      <text>
        <r>
          <rPr>
            <b/>
            <sz val="8"/>
            <rFont val="Tahoma"/>
            <family val="2"/>
          </rPr>
          <t>ndejager:</t>
        </r>
        <r>
          <rPr>
            <sz val="8"/>
            <rFont val="Tahoma"/>
            <family val="2"/>
          </rPr>
          <t xml:space="preserve">
Administration of Biosphere Head Office for 1 year</t>
        </r>
      </text>
    </comment>
  </commentList>
</comments>
</file>

<file path=xl/sharedStrings.xml><?xml version="1.0" encoding="utf-8"?>
<sst xmlns="http://schemas.openxmlformats.org/spreadsheetml/2006/main" count="1028" uniqueCount="441">
  <si>
    <t>R'000</t>
  </si>
  <si>
    <t>Current Year</t>
  </si>
  <si>
    <t>Budget Year +1</t>
  </si>
  <si>
    <t>Budget Year +2</t>
  </si>
  <si>
    <t>Budget</t>
  </si>
  <si>
    <t>Budget Year</t>
  </si>
  <si>
    <t>Operating Revenue by Source</t>
  </si>
  <si>
    <t>Adjusted Budget</t>
  </si>
  <si>
    <t>Full Year Forecast</t>
  </si>
  <si>
    <t>A</t>
  </si>
  <si>
    <t>B</t>
  </si>
  <si>
    <t>C</t>
  </si>
  <si>
    <t>D</t>
  </si>
  <si>
    <t>E</t>
  </si>
  <si>
    <t>F</t>
  </si>
  <si>
    <t>G</t>
  </si>
  <si>
    <t>REVENUE BY SOURCE</t>
  </si>
  <si>
    <t>2007/08</t>
  </si>
  <si>
    <t>2008/09</t>
  </si>
  <si>
    <t>.</t>
  </si>
  <si>
    <t>OPERATING EXPENDITURE BY VOTE</t>
  </si>
  <si>
    <t>CAPITAL EXPENDITURE BY VOTE</t>
  </si>
  <si>
    <t>Amounts allocated / gazetted for that year</t>
  </si>
  <si>
    <t>Amounts carried over from previous years</t>
  </si>
  <si>
    <t>Total Grants &amp; Subsidies - National Government</t>
  </si>
  <si>
    <t>Total Grants &amp; Subsidies - Provincial Government</t>
  </si>
  <si>
    <t>Total Government Grants &amp; Subsidies</t>
  </si>
  <si>
    <t>Public Contributions &amp; Donations</t>
  </si>
  <si>
    <t>CAPITAL FUNDING BY SOURCE</t>
  </si>
  <si>
    <t>National Government</t>
  </si>
  <si>
    <t>Provincial Government</t>
  </si>
  <si>
    <t>External Loans</t>
  </si>
  <si>
    <t>SCHEDULE 1</t>
  </si>
  <si>
    <t>SCHEDULE 2</t>
  </si>
  <si>
    <t>SCHEDULE 3</t>
  </si>
  <si>
    <t>Accumulated Surplus (Own Funds)</t>
  </si>
  <si>
    <t>Notes:</t>
  </si>
  <si>
    <t>Preceding Year</t>
  </si>
  <si>
    <t>Audited Actual</t>
  </si>
  <si>
    <t>Approved Budget</t>
  </si>
  <si>
    <t>Column Definitions:</t>
  </si>
  <si>
    <t>Property rates</t>
  </si>
  <si>
    <t xml:space="preserve">Property rates - penalties imposed and collection charges </t>
  </si>
  <si>
    <t>Service charges - electricity revenue from tariff billings</t>
  </si>
  <si>
    <t>Service charges - water revenue from tariff billings</t>
  </si>
  <si>
    <t>Service charges - sanitation revenue from tariff billings</t>
  </si>
  <si>
    <t>Service charges - refuse removal from tariff billings</t>
  </si>
  <si>
    <t>Regional Service Levies - turnover</t>
  </si>
  <si>
    <t>Regional Service Levies - remuneration</t>
  </si>
  <si>
    <t>Rental of facilities and equipment</t>
  </si>
  <si>
    <t>Interest earned - external investments</t>
  </si>
  <si>
    <t>Interest earned - outstanding debtors</t>
  </si>
  <si>
    <t>Government grants &amp; subsidies</t>
  </si>
  <si>
    <t>Public contributions &amp; donated or contributed PPE</t>
  </si>
  <si>
    <t>Gain on disposal of property plant and equipment</t>
  </si>
  <si>
    <t>Executive &amp; Council</t>
  </si>
  <si>
    <t>Finance &amp; Admin</t>
  </si>
  <si>
    <t>Planning &amp; Development</t>
  </si>
  <si>
    <t>Health</t>
  </si>
  <si>
    <t>Community &amp; Social Services</t>
  </si>
  <si>
    <t>Housing</t>
  </si>
  <si>
    <t>Public Safety</t>
  </si>
  <si>
    <t>Sport and Recreation</t>
  </si>
  <si>
    <t>Environmental Protection</t>
  </si>
  <si>
    <t>Waste Management</t>
  </si>
  <si>
    <t>Waste Water Management</t>
  </si>
  <si>
    <t>Road Transport</t>
  </si>
  <si>
    <t>Water</t>
  </si>
  <si>
    <t>Electricity</t>
  </si>
  <si>
    <t>Amounts allocated for that year</t>
  </si>
  <si>
    <t>2. Use Zero (0) where no amount is applicable.</t>
  </si>
  <si>
    <t>3. Total Capital Expenditure agrees to Total Funding</t>
  </si>
  <si>
    <r>
      <t>TOTAL FUNDING OF CAPITAL EXPENDITURE</t>
    </r>
    <r>
      <rPr>
        <b/>
        <vertAlign val="superscript"/>
        <sz val="10"/>
        <rFont val="Arial"/>
        <family val="2"/>
      </rPr>
      <t>3</t>
    </r>
  </si>
  <si>
    <t>1. All municipalities must follow the format above for standardisation.</t>
  </si>
  <si>
    <t xml:space="preserve">1. This schedule is required if the municipality elects to approve schedule 2 according to a vote structure not consistent with GFS classifications </t>
  </si>
  <si>
    <r>
      <t xml:space="preserve">2. All budgeted amounts must be classified under a GFS function. </t>
    </r>
    <r>
      <rPr>
        <b/>
        <sz val="10"/>
        <rFont val="Arial"/>
        <family val="2"/>
      </rPr>
      <t>Do not use "other"</t>
    </r>
    <r>
      <rPr>
        <sz val="10"/>
        <rFont val="Arial"/>
        <family val="2"/>
      </rPr>
      <t>. Where the function falls within the GFS function "Other", Use the GFS sub-function classification.</t>
    </r>
  </si>
  <si>
    <t xml:space="preserve">1. The municipality should list its own votes and votes should be at the highest possible level (e.g. a vote for each department). </t>
  </si>
  <si>
    <t xml:space="preserve">3. If the municipality elects not to show GFS function on this schedule, schedule 2(a) showing GFS function must be completed and approved.  </t>
  </si>
  <si>
    <r>
      <t xml:space="preserve">4. All budgeted amounts must be classified under a particular vote. </t>
    </r>
    <r>
      <rPr>
        <b/>
        <sz val="10"/>
        <rFont val="Arial"/>
        <family val="2"/>
      </rPr>
      <t>Do not use "other"</t>
    </r>
    <r>
      <rPr>
        <sz val="10"/>
        <rFont val="Arial"/>
        <family val="2"/>
      </rPr>
      <t>.</t>
    </r>
  </si>
  <si>
    <t>2. The municipality may elect to show the vote as a GFS function or display the GFS function with votes underneath. Totals for each GFS function must then be shown.</t>
  </si>
  <si>
    <t xml:space="preserve">3. If the municipality elects not to show GFS function on this schedule, schedule 3(a) showing GFS function must be completed and approved.  </t>
  </si>
  <si>
    <t>Medium Term Revenue and Expenditure Framework</t>
  </si>
  <si>
    <t>SCHEDULE 3(a)</t>
  </si>
  <si>
    <t>CAPITAL EXPENDITURE BY GFS</t>
  </si>
  <si>
    <t>Total Revenue By Source</t>
  </si>
  <si>
    <t>5. See example tables and charts provided in Annexure 3 (Table 2 and related charts - pages 23 to 25)</t>
  </si>
  <si>
    <t>5. See example tables and charts provided in Annexure 3 (Table 3 and related charts - pages 26 to 28)</t>
  </si>
  <si>
    <t>3. See example tables and charts provided in Annexure 3 (Table 3 and related charts - pages 26 to 28)</t>
  </si>
  <si>
    <t>4. See example tables and charts provided in Annexure 3 (Table 4 and related charts - pages 29 &amp; 30)</t>
  </si>
  <si>
    <t>2009/10</t>
  </si>
  <si>
    <t>Other income</t>
  </si>
  <si>
    <t>Municipal Manager</t>
  </si>
  <si>
    <t>Planning and Economic Development</t>
  </si>
  <si>
    <t>Executive Mayor's Office</t>
  </si>
  <si>
    <t>Water, Sanitation and Drought Relief</t>
  </si>
  <si>
    <t>Roads and Stormwater</t>
  </si>
  <si>
    <t>Transport</t>
  </si>
  <si>
    <t>Land</t>
  </si>
  <si>
    <t>Enviromental Management</t>
  </si>
  <si>
    <t>Disaster Management</t>
  </si>
  <si>
    <t>Sports ,Arts and Culture</t>
  </si>
  <si>
    <t>Service charges - abattoir</t>
  </si>
  <si>
    <t>OPERATING EXPENDITURE BY GFS</t>
  </si>
  <si>
    <t xml:space="preserve"> </t>
  </si>
  <si>
    <t>Employee related costs</t>
  </si>
  <si>
    <t>Remuneration of Councillors</t>
  </si>
  <si>
    <t>Repairs and maintenance</t>
  </si>
  <si>
    <t>General expenses</t>
  </si>
  <si>
    <t>DISCLOSURE OF SALARIES, ALLOWANCES &amp; BENEFITS</t>
  </si>
  <si>
    <t>Salary</t>
  </si>
  <si>
    <t>Social</t>
  </si>
  <si>
    <t>Allowances</t>
  </si>
  <si>
    <t xml:space="preserve">Performance </t>
  </si>
  <si>
    <t>Total</t>
  </si>
  <si>
    <t>Contributions</t>
  </si>
  <si>
    <t>Bonuses</t>
  </si>
  <si>
    <t>Package</t>
  </si>
  <si>
    <t>Rand pa</t>
  </si>
  <si>
    <t>Councillors</t>
  </si>
  <si>
    <t>Executive Mayor</t>
  </si>
  <si>
    <t>Speaker</t>
  </si>
  <si>
    <t>Chief Whip</t>
  </si>
  <si>
    <t>Full time Mayoral Comm Member</t>
  </si>
  <si>
    <t>Officials of the Municipality</t>
  </si>
  <si>
    <t>Manager Planning and Economic Development</t>
  </si>
  <si>
    <t>TOTAL COST OF REMUNERATION TO MUNICIPALITY</t>
  </si>
  <si>
    <t>SUMMARY OF TOTAL SALARIES, WAGES, ALLOWANCES AND CONTRIBUTIONS</t>
  </si>
  <si>
    <t>Councillors (Political Office Bearers plus Other)</t>
  </si>
  <si>
    <t>Basic Salaries</t>
  </si>
  <si>
    <t>Pension Contributions</t>
  </si>
  <si>
    <t>Medical Aid Contributions</t>
  </si>
  <si>
    <t>Sub Total - Councillors</t>
  </si>
  <si>
    <t>Senior Managers of the Municipality (s 57 of Systems Act)</t>
  </si>
  <si>
    <t>Performance Bonus</t>
  </si>
  <si>
    <t>Sub Total - Senior Managers of Municipality</t>
  </si>
  <si>
    <t>Other Municipal Staff</t>
  </si>
  <si>
    <t>Overtime</t>
  </si>
  <si>
    <t>Sub Total - Other Municipal Staff</t>
  </si>
  <si>
    <t>TOTAL EMPLOYEE COSTS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</si>
  <si>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</si>
  <si>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</si>
  <si>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</si>
  <si>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</si>
  <si>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</si>
  <si>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</si>
  <si>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</si>
  <si>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</si>
  <si>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</si>
  <si>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</si>
  <si>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</si>
  <si>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</si>
  <si>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Full Year</t>
  </si>
  <si>
    <t xml:space="preserve">  </t>
  </si>
  <si>
    <t>Cash Operating Receipts by Source</t>
  </si>
  <si>
    <t>Government grants</t>
  </si>
  <si>
    <t>Grants - capital (incl. grants from other municipalities)</t>
  </si>
  <si>
    <t>Other Cash Receipts by Source</t>
  </si>
  <si>
    <t>Receipts from old outstanding debtors</t>
  </si>
  <si>
    <t>Total Cash Receipts by Source</t>
  </si>
  <si>
    <t>Cash Operating Payments by Type</t>
  </si>
  <si>
    <t>Contracted services</t>
  </si>
  <si>
    <t>IDP operating expenditure</t>
  </si>
  <si>
    <t>Other Cash Payments by Type</t>
  </si>
  <si>
    <t>Purchase of property, plant and equipment</t>
  </si>
  <si>
    <t>Total Cash Payments by Type</t>
  </si>
  <si>
    <t>NET INCREASE / (DECREASE) IN CASH &amp; INVESTMENTS</t>
  </si>
  <si>
    <t xml:space="preserve">                 ANNEXURE 1</t>
  </si>
  <si>
    <t>TARIFF</t>
  </si>
  <si>
    <t>PROJECT</t>
  </si>
  <si>
    <t>FUNDER</t>
  </si>
  <si>
    <t>09/10</t>
  </si>
  <si>
    <t>10/11</t>
  </si>
  <si>
    <t>TOTAL</t>
  </si>
  <si>
    <t>DUE 29</t>
  </si>
  <si>
    <t>Upgrading of the abattoir</t>
  </si>
  <si>
    <t>WDM</t>
  </si>
  <si>
    <t>DUE-31</t>
  </si>
  <si>
    <t>Coordination of District wide LED</t>
  </si>
  <si>
    <t>DUE-38</t>
  </si>
  <si>
    <t>Tourism Development</t>
  </si>
  <si>
    <t>DHW-07</t>
  </si>
  <si>
    <t>Municipal Health Plan</t>
  </si>
  <si>
    <t>Procurement of movable assets</t>
  </si>
  <si>
    <t>Training of volunteer Fire Fighters</t>
  </si>
  <si>
    <t>Co-ordination of Sports, Arts and Culture</t>
  </si>
  <si>
    <t>2010/11</t>
  </si>
  <si>
    <t>R</t>
  </si>
  <si>
    <t>R'</t>
  </si>
  <si>
    <t>EXPENDITURE BY TYPE</t>
  </si>
  <si>
    <t>Operating Expenditure by Type</t>
  </si>
  <si>
    <t>Bad debts</t>
  </si>
  <si>
    <t>Depreciation</t>
  </si>
  <si>
    <t>Contracted services - fire fighting</t>
  </si>
  <si>
    <t xml:space="preserve">Loss on disposal of Property, plant </t>
  </si>
  <si>
    <t>Project expenditure</t>
  </si>
  <si>
    <t>Total Operating Expenditure By Type</t>
  </si>
  <si>
    <t>Projected roll-over as at 30 June 2008</t>
  </si>
  <si>
    <t>MTEF</t>
  </si>
  <si>
    <t>MID</t>
  </si>
  <si>
    <t>MPED</t>
  </si>
  <si>
    <t>MSDCS</t>
  </si>
  <si>
    <t>CO-09</t>
  </si>
  <si>
    <t>MEMO</t>
  </si>
  <si>
    <t>MCSSS</t>
  </si>
  <si>
    <t>DSC-07</t>
  </si>
  <si>
    <t>OPERATING EXP PROJECTS:</t>
  </si>
  <si>
    <t>03</t>
  </si>
  <si>
    <t>04</t>
  </si>
  <si>
    <t>05</t>
  </si>
  <si>
    <t>06</t>
  </si>
  <si>
    <t>07</t>
  </si>
  <si>
    <t>08</t>
  </si>
  <si>
    <t>09</t>
  </si>
  <si>
    <t>20</t>
  </si>
  <si>
    <t>Vote #</t>
  </si>
  <si>
    <t>SUPPORTING TABLE  A</t>
  </si>
  <si>
    <t>SUPPORTING TABLE  B</t>
  </si>
  <si>
    <t>Mayoral Committee Members (5)</t>
  </si>
  <si>
    <t>2009</t>
  </si>
  <si>
    <t>SUPPORTING TABLE  C</t>
  </si>
  <si>
    <t>CASH FLOW PROJECTION</t>
  </si>
  <si>
    <t>RESPONSI-BLE MANAGER</t>
  </si>
  <si>
    <t>Waterberg Biosphere Meander Route</t>
  </si>
  <si>
    <t>PMS</t>
  </si>
  <si>
    <t>Integrated Financial Management System</t>
  </si>
  <si>
    <t>Regional Service Levies</t>
  </si>
  <si>
    <t>Interest earned - investments</t>
  </si>
  <si>
    <t>2011/12</t>
  </si>
  <si>
    <t xml:space="preserve">A. The audited actual for 2007/08 as per the audited financial statements. </t>
  </si>
  <si>
    <t>B. The original budget approved by council for the 2008/09 budget year.</t>
  </si>
  <si>
    <t>C. The budget for 2008/09 budget year as adjusted by council resolution in terms of section 28 of the MFMA.</t>
  </si>
  <si>
    <t>D. An estimate of final actual figures (pre audit) for the 2008/09 budget year at the point in time of preparing the budget for the 2009/10 budget year. This may differ from C.</t>
  </si>
  <si>
    <t>E. The amount to be appropriated for the 2009/10 budget year.</t>
  </si>
  <si>
    <t>F. The indicative projection for 2010/11</t>
  </si>
  <si>
    <t>G. The indicative projection for 2011/12</t>
  </si>
  <si>
    <t>F. The indicative projection for 2010/101</t>
  </si>
  <si>
    <t>EMO + MM</t>
  </si>
  <si>
    <t>BTO + CSSS</t>
  </si>
  <si>
    <t>HEALTH</t>
  </si>
  <si>
    <t>SDCS</t>
  </si>
  <si>
    <t>ID</t>
  </si>
  <si>
    <t>Abattoir</t>
  </si>
  <si>
    <t>Fire Fighting</t>
  </si>
  <si>
    <t>Budget &amp; Treasury</t>
  </si>
  <si>
    <t>Corporate Support &amp; Shared Services</t>
  </si>
  <si>
    <t>Infrastructure Development</t>
  </si>
  <si>
    <t>Social Development &amp; Community Services</t>
  </si>
  <si>
    <t xml:space="preserve">         Municipal Manager</t>
  </si>
  <si>
    <t xml:space="preserve">         Disaster (Fire Fighting)</t>
  </si>
  <si>
    <t xml:space="preserve">         Planning and Economic Development</t>
  </si>
  <si>
    <t xml:space="preserve">         PIMMS</t>
  </si>
  <si>
    <t xml:space="preserve">         Abbatoir</t>
  </si>
  <si>
    <t xml:space="preserve">          Social Development &amp; Community Services</t>
  </si>
  <si>
    <t xml:space="preserve">          Municipal Health</t>
  </si>
  <si>
    <t>PED + PIMMS</t>
  </si>
  <si>
    <t>SCHEDULE 2(a)</t>
  </si>
  <si>
    <t>SCHEDULE 2(b)</t>
  </si>
  <si>
    <t>PROJECT NIUMBER</t>
  </si>
  <si>
    <t>09/10 IDP CAPITAL</t>
  </si>
  <si>
    <t>09/10 IDP OPERATING</t>
  </si>
  <si>
    <t>11/12</t>
  </si>
  <si>
    <t>TOTAL MTEF CAPITAL BUDGET</t>
  </si>
  <si>
    <t>PRIORITY NO 1: MUNICIPAL HEALTH</t>
  </si>
  <si>
    <t>PRIORITY NO 2: DISASTER MANAGEMENT</t>
  </si>
  <si>
    <t>MM</t>
  </si>
  <si>
    <t xml:space="preserve"> MM</t>
  </si>
  <si>
    <t>Review of WDM Disaster Management Framework Plan</t>
  </si>
  <si>
    <t>Mogalakwena - Rescue Pumper Vehicle with equipment</t>
  </si>
  <si>
    <t>Mogalakwena - Medium Pumper Vehicle with equipment</t>
  </si>
  <si>
    <t>Mogalakwena - Skid Units</t>
  </si>
  <si>
    <t>Mogalakwena - Equipment</t>
  </si>
  <si>
    <t>Modimolle - Vehicle &amp; Equipment</t>
  </si>
  <si>
    <t>Lephalale - Vehicle with Skid Unit &amp; Water Tank</t>
  </si>
  <si>
    <t>Thabazimbi - Fire Truck</t>
  </si>
  <si>
    <t>Thabazimbi - Equipment &amp; Skid Units</t>
  </si>
  <si>
    <t>Mookgophong - Equipment</t>
  </si>
  <si>
    <t>Bela Bela - Equipment</t>
  </si>
  <si>
    <t>WDM Disaster Centre - 4x4 LDV</t>
  </si>
  <si>
    <t>WDM Disaster Centre - Stand-by Generator</t>
  </si>
  <si>
    <t>PRIORITY NO 3: LOCAL ECONOMIC DEVELOPMENT &amp; TOURISM</t>
  </si>
  <si>
    <t>DUE-40</t>
  </si>
  <si>
    <t>Waterberg Economic Development Agency</t>
  </si>
  <si>
    <t>PRIORITY NO 4: MUNICIPAL ROADS &amp; STORMWATER</t>
  </si>
  <si>
    <t>PRIORITY NO 5: MUNICIPAL SUPPORT &amp; INSTITUTIONAL DEVELOPMENT</t>
  </si>
  <si>
    <t>DIN-24</t>
  </si>
  <si>
    <t>DIN-22</t>
  </si>
  <si>
    <t>DIN-21</t>
  </si>
  <si>
    <t>DIN-27</t>
  </si>
  <si>
    <t>IT MSP IMPLEMENTATION</t>
  </si>
  <si>
    <t>DIN-17</t>
  </si>
  <si>
    <t>Donor Funding Strategy</t>
  </si>
  <si>
    <t>CFO</t>
  </si>
  <si>
    <t>Upgrade of Main Storeroom</t>
  </si>
  <si>
    <t>Cabling of Lephalale Disaster Centre</t>
  </si>
  <si>
    <t>Water Sampling Software</t>
  </si>
  <si>
    <t>PRIORITY NO.06: ABATTOIR</t>
  </si>
  <si>
    <t>PRIORITY NO.07: COMMUNITY PARTICIPATION &amp; GOOD GOVERNANCE</t>
  </si>
  <si>
    <t>Communication &amp; Public Partipation Strategy</t>
  </si>
  <si>
    <t>District  public participation - IDP</t>
  </si>
  <si>
    <t>District  public participation - EMO</t>
  </si>
  <si>
    <t>Learning &amp; Sharing</t>
  </si>
  <si>
    <t>Moral Regeneration</t>
  </si>
  <si>
    <t>Gender</t>
  </si>
  <si>
    <t>HIV/AIDS</t>
  </si>
  <si>
    <t>People with disability</t>
  </si>
  <si>
    <t>Youth</t>
  </si>
  <si>
    <t>Anti-fraud Hotline</t>
  </si>
  <si>
    <t>Compilation of BEE Scorecard</t>
  </si>
  <si>
    <t>PRIORITY NO 8: LAND</t>
  </si>
  <si>
    <t>PRIORITY NO 9: TRANSPORT</t>
  </si>
  <si>
    <t>GRAND TOTAL IDP</t>
  </si>
  <si>
    <t>01</t>
  </si>
  <si>
    <t>02</t>
  </si>
  <si>
    <t>Budget &amp; Treasury Office</t>
  </si>
  <si>
    <t>Municipal Managers Office</t>
  </si>
  <si>
    <t>Planning &amp; Economic Development</t>
  </si>
  <si>
    <t>Executive Mayors Office</t>
  </si>
  <si>
    <t>Disaster</t>
  </si>
  <si>
    <t>Municipal Health</t>
  </si>
  <si>
    <t>Local Economic Development &amp; Tourism</t>
  </si>
  <si>
    <t>Municipal Support &amp; Institutional Development</t>
  </si>
  <si>
    <t>Community Participation and Good Governance</t>
  </si>
  <si>
    <t>PRIORITY NO 10: SPORTS, ARTS &amp; CULTURE</t>
  </si>
  <si>
    <t>GFS CLASSIFICATION</t>
  </si>
  <si>
    <t>Total Grants &amp; Subsidies - Local Municipalities</t>
  </si>
  <si>
    <t>Chief Financial Officer</t>
  </si>
  <si>
    <t>Manager Corporate Support &amp; Shared Services</t>
  </si>
  <si>
    <t>Manager Infrastructure Development</t>
  </si>
  <si>
    <t>Manager Social Development &amp; Community Services</t>
  </si>
  <si>
    <t>Manager Executive Mayors Office</t>
  </si>
  <si>
    <t>Councillors (25)</t>
  </si>
  <si>
    <t>UIF</t>
  </si>
  <si>
    <t>Medical aid &amp; Continued members</t>
  </si>
  <si>
    <t>Pension &amp; Provident</t>
  </si>
  <si>
    <t>Salaries</t>
  </si>
  <si>
    <t>Pension</t>
  </si>
  <si>
    <t>Medical</t>
  </si>
  <si>
    <t>Travel, Housing &amp; Cell</t>
  </si>
  <si>
    <t>Basic &amp; Bonus &amp; Wages</t>
  </si>
  <si>
    <t>Travel, housing &amp; Cell phone</t>
  </si>
  <si>
    <t>Excl SDL</t>
  </si>
  <si>
    <t>2010</t>
  </si>
  <si>
    <t>Funding from Local Municipalities</t>
  </si>
  <si>
    <t>Opening balance</t>
  </si>
  <si>
    <t>CODE</t>
  </si>
  <si>
    <t>ITEM</t>
  </si>
  <si>
    <t>LEVY</t>
  </si>
  <si>
    <t>VAT</t>
  </si>
  <si>
    <t>O1</t>
  </si>
  <si>
    <t>BOVINE</t>
  </si>
  <si>
    <t>O2</t>
  </si>
  <si>
    <t>BULLS ABOVE 350 KG</t>
  </si>
  <si>
    <t>O3</t>
  </si>
  <si>
    <t>CALF</t>
  </si>
  <si>
    <t>O4</t>
  </si>
  <si>
    <t>PIGS - ABOVE 80 KG</t>
  </si>
  <si>
    <t>O5</t>
  </si>
  <si>
    <t>PIGS - ABOVE 20 KG</t>
  </si>
  <si>
    <t>O6</t>
  </si>
  <si>
    <t>WEANER PIGS</t>
  </si>
  <si>
    <t>07 AND 08</t>
  </si>
  <si>
    <t>SHEEP/GOAT</t>
  </si>
  <si>
    <t>FREEZING</t>
  </si>
  <si>
    <t>BOVINE CARCASS</t>
  </si>
  <si>
    <t>CALF CARCASS</t>
  </si>
  <si>
    <t>COOLING</t>
  </si>
  <si>
    <t>Cooling per 24 hours after the first 24 hours excluding the hours from Friday 16:15 to Monday -7:30 (per)</t>
  </si>
  <si>
    <t>BOVINE CARCASS PER SIDE</t>
  </si>
  <si>
    <t>CALF CARCASS PER SIDE</t>
  </si>
  <si>
    <t>PIG CARCASS</t>
  </si>
  <si>
    <t>WEANER PIG</t>
  </si>
  <si>
    <t>TRIPE PER CRATE</t>
  </si>
  <si>
    <t>CLEANING OF TRIPE</t>
  </si>
  <si>
    <t>BOVINE TROTTERS</t>
  </si>
  <si>
    <t>CLEANING OF SHEEP TRIPE</t>
  </si>
  <si>
    <t>TRIPE SALES</t>
  </si>
  <si>
    <t>SHEEP</t>
  </si>
  <si>
    <t>BOVINE HEAD</t>
  </si>
  <si>
    <t>LUNGS</t>
  </si>
  <si>
    <t>LIVER</t>
  </si>
  <si>
    <t>TROTTERS (PER)</t>
  </si>
  <si>
    <t>RE- INSPECTION</t>
  </si>
  <si>
    <t>RE-INSPECTION</t>
  </si>
  <si>
    <t>QUANTITY SLAUGHTERED PER MONTH</t>
  </si>
  <si>
    <t xml:space="preserve">                        001 - 200</t>
  </si>
  <si>
    <t xml:space="preserve">                        201 - 250</t>
  </si>
  <si>
    <t xml:space="preserve">                        251 - 300</t>
  </si>
  <si>
    <t xml:space="preserve">                        301 - 400</t>
  </si>
  <si>
    <t xml:space="preserve">                        401 PLUS</t>
  </si>
  <si>
    <t>PIGS: (20 KG - 80 KG)</t>
  </si>
  <si>
    <t xml:space="preserve">                        001 - 100</t>
  </si>
  <si>
    <t xml:space="preserve">                        101 - 200</t>
  </si>
  <si>
    <t xml:space="preserve">                        201 PLUS</t>
  </si>
  <si>
    <t>INTEREST ON ARREAR ACCOUNTS</t>
  </si>
  <si>
    <t>Council charge interest at a rate as determined by SARS from time to time on arrear abattoir debtors.</t>
  </si>
  <si>
    <t xml:space="preserve">            ABATTOIR TARIFFS FROM 1 JULY 2009</t>
  </si>
  <si>
    <t>Funding:</t>
  </si>
  <si>
    <t>SCHEDULE 4</t>
  </si>
  <si>
    <t>ANNEXURE 3</t>
  </si>
  <si>
    <t>WATERBERG DISTRICT MUNICIPALITY</t>
  </si>
  <si>
    <t>CAPITAL INVESTMENT PROGRAMME</t>
  </si>
  <si>
    <t>Disaster Relief Tents / Wendy Houses</t>
  </si>
  <si>
    <t>Signage</t>
  </si>
  <si>
    <t>VUNA Awards</t>
  </si>
  <si>
    <t>Land audit (project by DLGH)</t>
  </si>
  <si>
    <t>DLGH</t>
  </si>
  <si>
    <t>PRIORITY NO 12: ENVIRONMENTAL MANAGEMENT</t>
  </si>
  <si>
    <t>DSE-06</t>
  </si>
  <si>
    <t>Maintenance of landfill sites</t>
  </si>
  <si>
    <t>DLGH - VUNA Awards</t>
  </si>
  <si>
    <t>District Municipality</t>
  </si>
  <si>
    <t>DM-08</t>
  </si>
  <si>
    <t>DM-09</t>
  </si>
  <si>
    <t>DM-10</t>
  </si>
  <si>
    <t>DM-11</t>
  </si>
  <si>
    <t>DM-12</t>
  </si>
  <si>
    <t>DM-13</t>
  </si>
  <si>
    <t>DM-14</t>
  </si>
  <si>
    <t>DM-15</t>
  </si>
  <si>
    <t>DM-16</t>
  </si>
  <si>
    <t>DM-17</t>
  </si>
  <si>
    <t>DM-18</t>
  </si>
  <si>
    <t>DM-19</t>
  </si>
  <si>
    <t>DM-20</t>
  </si>
  <si>
    <t>DM-21</t>
  </si>
  <si>
    <t>DUE-41</t>
  </si>
  <si>
    <t>DUE-42</t>
  </si>
  <si>
    <t>DIN-28</t>
  </si>
  <si>
    <t>DIN-29</t>
  </si>
  <si>
    <t>DIN-31</t>
  </si>
  <si>
    <t>CO-13</t>
  </si>
  <si>
    <t>CO-11</t>
  </si>
  <si>
    <t>CO-14</t>
  </si>
  <si>
    <t>CO-15</t>
  </si>
  <si>
    <t>CO-16</t>
  </si>
  <si>
    <t>CO-17</t>
  </si>
  <si>
    <t>CO-18</t>
  </si>
  <si>
    <t>CO-19</t>
  </si>
  <si>
    <t>CO-20</t>
  </si>
  <si>
    <t>CO-21</t>
  </si>
  <si>
    <t>LA-10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</si>
</sst>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_ ;[Red]\-#,##0.00\ "/>
    <numFmt numFmtId="174" formatCode="[$-1C09]dd\ mmmm\ yyyy"/>
    <numFmt numFmtId="175" formatCode="[$-409]hh:mm:ss\ AM/PM"/>
    <numFmt numFmtId="176" formatCode="_ * #,##0.0_ ;_ * \-#,##0.0_ ;_ * &quot;-&quot;??_ ;_ @_ "/>
    <numFmt numFmtId="177" formatCode="_ * #,##0_ ;_ * \-#,##0_ ;_ * &quot;-&quot;??_ ;_ @_ "/>
    <numFmt numFmtId="178" formatCode="#\ ###\ ##0"/>
    <numFmt numFmtId="179" formatCode="_ * #,##0.0_ ;_ * \-#,##0.0_ ;_ * &quot;-&quot;?_ ;_ @_ "/>
    <numFmt numFmtId="180" formatCode="#\ ##0"/>
    <numFmt numFmtId="181" formatCode="##\ ###\ ##0"/>
    <numFmt numFmtId="182" formatCode="\ ###\ ###\ ##0"/>
    <numFmt numFmtId="183" formatCode="_(* ###\ ###\ ##0_);_(* \(#,##0\);_(* &quot;-&quot;_);_(@_)"/>
    <numFmt numFmtId="184" formatCode="_(* #,##0_);_(* \(#,##0\);_(* &quot;-&quot;??_);_(@_)"/>
    <numFmt numFmtId="185" formatCode="#,##0.0;[Red]\-#,##0.0"/>
    <numFmt numFmtId="186" formatCode="_ * #,##0_ ;_ * \-#,##0_ ;_ * &quot;-&quot;?_ ;_ @_ 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" fontId="1" fillId="0" borderId="11" xfId="0" applyNumberFormat="1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Continuous"/>
    </xf>
    <xf numFmtId="0" fontId="1" fillId="0" borderId="17" xfId="0" applyFont="1" applyBorder="1" applyAlignment="1" quotePrefix="1">
      <alignment horizontal="centerContinuous"/>
    </xf>
    <xf numFmtId="0" fontId="1" fillId="0" borderId="11" xfId="0" applyFont="1" applyBorder="1" applyAlignment="1" quotePrefix="1">
      <alignment horizontal="center"/>
    </xf>
    <xf numFmtId="172" fontId="1" fillId="0" borderId="1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3" fontId="1" fillId="0" borderId="0" xfId="0" applyNumberFormat="1" applyFont="1" applyAlignment="1" quotePrefix="1">
      <alignment horizontal="center"/>
    </xf>
    <xf numFmtId="172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12" xfId="0" applyNumberForma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1" fillId="0" borderId="13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 quotePrefix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17" fontId="1" fillId="0" borderId="13" xfId="0" applyNumberFormat="1" applyFont="1" applyBorder="1" applyAlignment="1" quotePrefix="1">
      <alignment horizontal="centerContinuous"/>
    </xf>
    <xf numFmtId="0" fontId="1" fillId="0" borderId="1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1" fillId="0" borderId="12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38" fontId="0" fillId="0" borderId="12" xfId="0" applyNumberFormat="1" applyBorder="1" applyAlignment="1">
      <alignment/>
    </xf>
    <xf numFmtId="173" fontId="1" fillId="0" borderId="14" xfId="0" applyNumberFormat="1" applyFont="1" applyBorder="1" applyAlignment="1">
      <alignment horizontal="right"/>
    </xf>
    <xf numFmtId="177" fontId="1" fillId="0" borderId="12" xfId="42" applyNumberFormat="1" applyFont="1" applyBorder="1" applyAlignment="1">
      <alignment horizontal="center"/>
    </xf>
    <xf numFmtId="177" fontId="0" fillId="0" borderId="12" xfId="42" applyNumberFormat="1" applyFont="1" applyBorder="1" applyAlignment="1">
      <alignment horizontal="right"/>
    </xf>
    <xf numFmtId="177" fontId="0" fillId="0" borderId="12" xfId="42" applyNumberFormat="1" applyFont="1" applyFill="1" applyBorder="1" applyAlignment="1">
      <alignment horizontal="right"/>
    </xf>
    <xf numFmtId="177" fontId="0" fillId="0" borderId="11" xfId="42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8" fontId="0" fillId="33" borderId="11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180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181" fontId="0" fillId="0" borderId="12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25" xfId="0" applyNumberFormat="1" applyBorder="1" applyAlignment="1">
      <alignment/>
    </xf>
    <xf numFmtId="178" fontId="1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34" borderId="12" xfId="0" applyFont="1" applyFill="1" applyBorder="1" applyAlignment="1">
      <alignment horizontal="centerContinuous"/>
    </xf>
    <xf numFmtId="0" fontId="1" fillId="34" borderId="11" xfId="0" applyFont="1" applyFill="1" applyBorder="1" applyAlignment="1" quotePrefix="1">
      <alignment horizontal="center"/>
    </xf>
    <xf numFmtId="0" fontId="1" fillId="34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3" fontId="10" fillId="0" borderId="12" xfId="0" applyNumberFormat="1" applyFont="1" applyBorder="1" applyAlignment="1">
      <alignment/>
    </xf>
    <xf numFmtId="181" fontId="0" fillId="34" borderId="12" xfId="0" applyNumberFormat="1" applyFill="1" applyBorder="1" applyAlignment="1">
      <alignment/>
    </xf>
    <xf numFmtId="3" fontId="11" fillId="0" borderId="14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181" fontId="1" fillId="34" borderId="14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181" fontId="0" fillId="0" borderId="12" xfId="0" applyNumberForma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18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11" xfId="0" applyFont="1" applyFill="1" applyBorder="1" applyAlignment="1" quotePrefix="1">
      <alignment horizontal="center"/>
    </xf>
    <xf numFmtId="0" fontId="0" fillId="0" borderId="0" xfId="63">
      <alignment/>
      <protection/>
    </xf>
    <xf numFmtId="3" fontId="0" fillId="0" borderId="0" xfId="63" applyNumberFormat="1">
      <alignment/>
      <protection/>
    </xf>
    <xf numFmtId="0" fontId="1" fillId="0" borderId="10" xfId="63" applyFont="1" applyBorder="1" applyAlignment="1">
      <alignment horizontal="center"/>
      <protection/>
    </xf>
    <xf numFmtId="0" fontId="1" fillId="0" borderId="15" xfId="63" applyFont="1" applyBorder="1" applyAlignment="1">
      <alignment horizontal="centerContinuous"/>
      <protection/>
    </xf>
    <xf numFmtId="0" fontId="0" fillId="0" borderId="15" xfId="63" applyBorder="1" applyAlignment="1">
      <alignment horizontal="centerContinuous"/>
      <protection/>
    </xf>
    <xf numFmtId="0" fontId="0" fillId="0" borderId="24" xfId="63" applyBorder="1" applyAlignment="1">
      <alignment horizontal="centerContinuous"/>
      <protection/>
    </xf>
    <xf numFmtId="0" fontId="1" fillId="0" borderId="21" xfId="63" applyFont="1" applyBorder="1" applyAlignment="1">
      <alignment horizontal="centerContinuous"/>
      <protection/>
    </xf>
    <xf numFmtId="0" fontId="0" fillId="0" borderId="22" xfId="63" applyBorder="1" applyAlignment="1">
      <alignment horizontal="centerContinuous"/>
      <protection/>
    </xf>
    <xf numFmtId="0" fontId="0" fillId="0" borderId="23" xfId="63" applyBorder="1" applyAlignment="1">
      <alignment horizontal="centerContinuous"/>
      <protection/>
    </xf>
    <xf numFmtId="0" fontId="1" fillId="0" borderId="12" xfId="63" applyFont="1" applyBorder="1" applyAlignment="1">
      <alignment horizontal="center"/>
      <protection/>
    </xf>
    <xf numFmtId="0" fontId="1" fillId="0" borderId="12" xfId="63" applyFont="1" applyBorder="1" applyAlignment="1" quotePrefix="1">
      <alignment horizontal="center"/>
      <protection/>
    </xf>
    <xf numFmtId="17" fontId="1" fillId="0" borderId="13" xfId="63" applyNumberFormat="1" applyFont="1" applyBorder="1" applyAlignment="1" quotePrefix="1">
      <alignment horizontal="centerContinuous"/>
      <protection/>
    </xf>
    <xf numFmtId="0" fontId="1" fillId="0" borderId="0" xfId="63" applyFont="1" applyBorder="1" applyAlignment="1">
      <alignment horizontal="centerContinuous"/>
      <protection/>
    </xf>
    <xf numFmtId="0" fontId="1" fillId="0" borderId="19" xfId="63" applyFont="1" applyBorder="1" applyAlignment="1">
      <alignment horizontal="centerContinuous"/>
      <protection/>
    </xf>
    <xf numFmtId="0" fontId="1" fillId="0" borderId="12" xfId="63" applyFont="1" applyBorder="1" applyAlignment="1">
      <alignment horizontal="centerContinuous"/>
      <protection/>
    </xf>
    <xf numFmtId="17" fontId="1" fillId="0" borderId="11" xfId="63" applyNumberFormat="1" applyFont="1" applyBorder="1" applyAlignment="1" quotePrefix="1">
      <alignment horizontal="center"/>
      <protection/>
    </xf>
    <xf numFmtId="0" fontId="1" fillId="0" borderId="17" xfId="63" applyFont="1" applyBorder="1" applyAlignment="1" quotePrefix="1">
      <alignment horizontal="centerContinuous"/>
      <protection/>
    </xf>
    <xf numFmtId="0" fontId="1" fillId="0" borderId="18" xfId="63" applyFont="1" applyBorder="1" applyAlignment="1" quotePrefix="1">
      <alignment horizontal="centerContinuous"/>
      <protection/>
    </xf>
    <xf numFmtId="0" fontId="1" fillId="0" borderId="16" xfId="63" applyFont="1" applyBorder="1" applyAlignment="1">
      <alignment horizontal="centerContinuous"/>
      <protection/>
    </xf>
    <xf numFmtId="0" fontId="1" fillId="0" borderId="13" xfId="63" applyFont="1" applyBorder="1" applyAlignment="1">
      <alignment horizontal="centerContinuous"/>
      <protection/>
    </xf>
    <xf numFmtId="0" fontId="1" fillId="0" borderId="10" xfId="63" applyFont="1" applyBorder="1" applyAlignment="1">
      <alignment horizontal="centerContinuous"/>
      <protection/>
    </xf>
    <xf numFmtId="0" fontId="1" fillId="0" borderId="12" xfId="63" applyFont="1" applyBorder="1">
      <alignment/>
      <protection/>
    </xf>
    <xf numFmtId="0" fontId="1" fillId="0" borderId="13" xfId="63" applyFont="1" applyBorder="1" applyAlignment="1">
      <alignment horizontal="center"/>
      <protection/>
    </xf>
    <xf numFmtId="0" fontId="0" fillId="0" borderId="11" xfId="63" applyBorder="1">
      <alignment/>
      <protection/>
    </xf>
    <xf numFmtId="0" fontId="1" fillId="0" borderId="17" xfId="63" applyFont="1" applyFill="1" applyBorder="1" applyAlignment="1">
      <alignment horizontal="center"/>
      <protection/>
    </xf>
    <xf numFmtId="0" fontId="1" fillId="0" borderId="11" xfId="63" applyFont="1" applyBorder="1" applyAlignment="1">
      <alignment horizontal="center"/>
      <protection/>
    </xf>
    <xf numFmtId="0" fontId="1" fillId="0" borderId="11" xfId="63" applyFont="1" applyFill="1" applyBorder="1" applyAlignment="1">
      <alignment horizontal="center"/>
      <protection/>
    </xf>
    <xf numFmtId="0" fontId="7" fillId="0" borderId="13" xfId="63" applyFon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178" fontId="0" fillId="0" borderId="12" xfId="63" applyNumberFormat="1" applyBorder="1" applyAlignment="1">
      <alignment horizontal="right"/>
      <protection/>
    </xf>
    <xf numFmtId="0" fontId="0" fillId="0" borderId="13" xfId="63" applyFill="1" applyBorder="1">
      <alignment/>
      <protection/>
    </xf>
    <xf numFmtId="179" fontId="0" fillId="0" borderId="12" xfId="63" applyNumberFormat="1" applyBorder="1" applyAlignment="1">
      <alignment horizontal="right"/>
      <protection/>
    </xf>
    <xf numFmtId="178" fontId="0" fillId="0" borderId="11" xfId="63" applyNumberFormat="1" applyFont="1" applyBorder="1">
      <alignment/>
      <protection/>
    </xf>
    <xf numFmtId="0" fontId="1" fillId="0" borderId="14" xfId="63" applyFont="1" applyFill="1" applyBorder="1">
      <alignment/>
      <protection/>
    </xf>
    <xf numFmtId="178" fontId="1" fillId="0" borderId="14" xfId="63" applyNumberFormat="1" applyFont="1" applyFill="1" applyBorder="1" applyAlignment="1">
      <alignment horizontal="right"/>
      <protection/>
    </xf>
    <xf numFmtId="9" fontId="0" fillId="0" borderId="0" xfId="63" applyNumberFormat="1">
      <alignment/>
      <protection/>
    </xf>
    <xf numFmtId="181" fontId="0" fillId="35" borderId="12" xfId="0" applyNumberFormat="1" applyFill="1" applyBorder="1" applyAlignment="1">
      <alignment/>
    </xf>
    <xf numFmtId="3" fontId="15" fillId="0" borderId="16" xfId="45" applyNumberFormat="1" applyFont="1" applyFill="1" applyBorder="1" applyAlignment="1">
      <alignment horizontal="center" wrapText="1"/>
    </xf>
    <xf numFmtId="3" fontId="17" fillId="0" borderId="23" xfId="45" applyNumberFormat="1" applyFont="1" applyFill="1" applyBorder="1" applyAlignment="1">
      <alignment horizontal="center" wrapText="1"/>
    </xf>
    <xf numFmtId="182" fontId="0" fillId="0" borderId="13" xfId="0" applyNumberFormat="1" applyFill="1" applyBorder="1" applyAlignment="1">
      <alignment horizontal="right"/>
    </xf>
    <xf numFmtId="43" fontId="0" fillId="0" borderId="0" xfId="42" applyFont="1" applyAlignment="1">
      <alignment/>
    </xf>
    <xf numFmtId="0" fontId="1" fillId="0" borderId="13" xfId="0" applyFont="1" applyBorder="1" applyAlignment="1">
      <alignment horizontal="centerContinuous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0" xfId="63" applyFont="1" applyBorder="1" applyAlignment="1">
      <alignment horizontal="center" wrapText="1"/>
      <protection/>
    </xf>
    <xf numFmtId="0" fontId="1" fillId="0" borderId="10" xfId="63" applyFont="1" applyBorder="1" applyAlignment="1">
      <alignment horizontal="centerContinuous" wrapText="1"/>
      <protection/>
    </xf>
    <xf numFmtId="0" fontId="1" fillId="0" borderId="10" xfId="0" applyFont="1" applyFill="1" applyBorder="1" applyAlignment="1">
      <alignment horizontal="center" wrapText="1"/>
    </xf>
    <xf numFmtId="43" fontId="0" fillId="0" borderId="12" xfId="42" applyFont="1" applyBorder="1" applyAlignment="1">
      <alignment horizontal="right"/>
    </xf>
    <xf numFmtId="43" fontId="0" fillId="0" borderId="16" xfId="42" applyFont="1" applyBorder="1" applyAlignment="1">
      <alignment horizontal="right"/>
    </xf>
    <xf numFmtId="177" fontId="0" fillId="0" borderId="16" xfId="42" applyNumberFormat="1" applyFont="1" applyBorder="1" applyAlignment="1">
      <alignment horizontal="right"/>
    </xf>
    <xf numFmtId="0" fontId="1" fillId="0" borderId="10" xfId="0" applyFont="1" applyBorder="1" applyAlignment="1">
      <alignment horizontal="centerContinuous" wrapText="1"/>
    </xf>
    <xf numFmtId="43" fontId="0" fillId="0" borderId="19" xfId="42" applyFont="1" applyBorder="1" applyAlignment="1">
      <alignment horizontal="right"/>
    </xf>
    <xf numFmtId="43" fontId="0" fillId="0" borderId="11" xfId="42" applyFont="1" applyBorder="1" applyAlignment="1">
      <alignment horizontal="right"/>
    </xf>
    <xf numFmtId="43" fontId="1" fillId="0" borderId="14" xfId="42" applyFont="1" applyBorder="1" applyAlignment="1">
      <alignment horizontal="right"/>
    </xf>
    <xf numFmtId="43" fontId="1" fillId="0" borderId="23" xfId="42" applyFont="1" applyBorder="1" applyAlignment="1">
      <alignment horizontal="right"/>
    </xf>
    <xf numFmtId="43" fontId="1" fillId="0" borderId="12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9" xfId="42" applyFont="1" applyBorder="1" applyAlignment="1">
      <alignment/>
    </xf>
    <xf numFmtId="43" fontId="1" fillId="0" borderId="19" xfId="42" applyFont="1" applyBorder="1" applyAlignment="1">
      <alignment horizontal="right"/>
    </xf>
    <xf numFmtId="43" fontId="0" fillId="0" borderId="25" xfId="42" applyFont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3" fontId="11" fillId="0" borderId="12" xfId="0" applyNumberFormat="1" applyFont="1" applyBorder="1" applyAlignment="1">
      <alignment/>
    </xf>
    <xf numFmtId="181" fontId="1" fillId="0" borderId="12" xfId="0" applyNumberFormat="1" applyFont="1" applyBorder="1" applyAlignment="1">
      <alignment/>
    </xf>
    <xf numFmtId="181" fontId="1" fillId="34" borderId="12" xfId="0" applyNumberFormat="1" applyFont="1" applyFill="1" applyBorder="1" applyAlignment="1">
      <alignment/>
    </xf>
    <xf numFmtId="0" fontId="0" fillId="0" borderId="0" xfId="63" applyFont="1">
      <alignment/>
      <protection/>
    </xf>
    <xf numFmtId="3" fontId="15" fillId="0" borderId="0" xfId="63" applyNumberFormat="1" applyFont="1" applyFill="1">
      <alignment/>
      <protection/>
    </xf>
    <xf numFmtId="3" fontId="15" fillId="0" borderId="0" xfId="63" applyNumberFormat="1" applyFont="1">
      <alignment/>
      <protection/>
    </xf>
    <xf numFmtId="0" fontId="15" fillId="0" borderId="0" xfId="63" applyFont="1">
      <alignment/>
      <protection/>
    </xf>
    <xf numFmtId="0" fontId="0" fillId="0" borderId="0" xfId="63" applyFont="1" applyAlignment="1">
      <alignment wrapText="1"/>
      <protection/>
    </xf>
    <xf numFmtId="0" fontId="1" fillId="0" borderId="0" xfId="63" applyFont="1" applyAlignment="1">
      <alignment wrapText="1"/>
      <protection/>
    </xf>
    <xf numFmtId="0" fontId="1" fillId="0" borderId="0" xfId="63" applyFont="1">
      <alignment/>
      <protection/>
    </xf>
    <xf numFmtId="0" fontId="17" fillId="0" borderId="11" xfId="63" applyFont="1" applyBorder="1" applyAlignment="1">
      <alignment horizontal="center" wrapText="1"/>
      <protection/>
    </xf>
    <xf numFmtId="0" fontId="17" fillId="0" borderId="11" xfId="63" applyFont="1" applyFill="1" applyBorder="1" applyAlignment="1">
      <alignment horizontal="center" wrapText="1"/>
      <protection/>
    </xf>
    <xf numFmtId="0" fontId="17" fillId="0" borderId="20" xfId="63" applyFont="1" applyBorder="1" applyAlignment="1">
      <alignment horizontal="center" wrapText="1"/>
      <protection/>
    </xf>
    <xf numFmtId="0" fontId="17" fillId="0" borderId="26" xfId="63" applyFont="1" applyBorder="1" applyAlignment="1">
      <alignment horizontal="center" wrapText="1"/>
      <protection/>
    </xf>
    <xf numFmtId="16" fontId="17" fillId="0" borderId="16" xfId="63" applyNumberFormat="1" applyFont="1" applyFill="1" applyBorder="1" applyAlignment="1" quotePrefix="1">
      <alignment horizontal="center" wrapText="1"/>
      <protection/>
    </xf>
    <xf numFmtId="0" fontId="17" fillId="0" borderId="21" xfId="63" applyFont="1" applyBorder="1" applyAlignment="1">
      <alignment horizontal="center" wrapText="1"/>
      <protection/>
    </xf>
    <xf numFmtId="0" fontId="17" fillId="0" borderId="22" xfId="63" applyFont="1" applyBorder="1" applyAlignment="1">
      <alignment horizontal="center" wrapText="1"/>
      <protection/>
    </xf>
    <xf numFmtId="0" fontId="17" fillId="0" borderId="16" xfId="63" applyFont="1" applyBorder="1" applyAlignment="1">
      <alignment horizontal="center" wrapText="1"/>
      <protection/>
    </xf>
    <xf numFmtId="0" fontId="18" fillId="0" borderId="16" xfId="63" applyFont="1" applyBorder="1" applyAlignment="1">
      <alignment horizontal="center" wrapText="1"/>
      <protection/>
    </xf>
    <xf numFmtId="0" fontId="19" fillId="0" borderId="14" xfId="63" applyFont="1" applyBorder="1" applyAlignment="1">
      <alignment horizontal="center" wrapText="1"/>
      <protection/>
    </xf>
    <xf numFmtId="0" fontId="19" fillId="0" borderId="22" xfId="63" applyFont="1" applyBorder="1" applyAlignment="1">
      <alignment horizontal="center" wrapText="1"/>
      <protection/>
    </xf>
    <xf numFmtId="3" fontId="15" fillId="0" borderId="11" xfId="63" applyNumberFormat="1" applyFont="1" applyFill="1" applyBorder="1" applyAlignment="1">
      <alignment horizontal="center" wrapText="1"/>
      <protection/>
    </xf>
    <xf numFmtId="184" fontId="19" fillId="0" borderId="16" xfId="48" applyNumberFormat="1" applyFont="1" applyBorder="1" applyAlignment="1">
      <alignment horizontal="center" wrapText="1"/>
    </xf>
    <xf numFmtId="184" fontId="19" fillId="0" borderId="27" xfId="48" applyNumberFormat="1" applyFont="1" applyBorder="1" applyAlignment="1">
      <alignment horizontal="center" wrapText="1"/>
    </xf>
    <xf numFmtId="184" fontId="15" fillId="0" borderId="16" xfId="48" applyNumberFormat="1" applyFont="1" applyFill="1" applyBorder="1" applyAlignment="1">
      <alignment horizontal="center" wrapText="1"/>
    </xf>
    <xf numFmtId="184" fontId="15" fillId="0" borderId="14" xfId="48" applyNumberFormat="1" applyFont="1" applyBorder="1" applyAlignment="1">
      <alignment horizontal="center" wrapText="1"/>
    </xf>
    <xf numFmtId="3" fontId="15" fillId="0" borderId="16" xfId="63" applyNumberFormat="1" applyFont="1" applyBorder="1" applyAlignment="1">
      <alignment horizontal="center" wrapText="1"/>
      <protection/>
    </xf>
    <xf numFmtId="0" fontId="17" fillId="0" borderId="23" xfId="63" applyFont="1" applyBorder="1" applyAlignment="1">
      <alignment horizontal="center" wrapText="1"/>
      <protection/>
    </xf>
    <xf numFmtId="3" fontId="17" fillId="0" borderId="17" xfId="63" applyNumberFormat="1" applyFont="1" applyFill="1" applyBorder="1" applyAlignment="1">
      <alignment horizontal="center" wrapText="1"/>
      <protection/>
    </xf>
    <xf numFmtId="184" fontId="17" fillId="0" borderId="17" xfId="48" applyNumberFormat="1" applyFont="1" applyFill="1" applyBorder="1" applyAlignment="1">
      <alignment horizontal="center" wrapText="1"/>
    </xf>
    <xf numFmtId="184" fontId="16" fillId="0" borderId="14" xfId="48" applyNumberFormat="1" applyFont="1" applyBorder="1" applyAlignment="1">
      <alignment horizontal="center" wrapText="1"/>
    </xf>
    <xf numFmtId="0" fontId="14" fillId="0" borderId="16" xfId="63" applyFont="1" applyBorder="1" applyAlignment="1">
      <alignment horizontal="center" wrapText="1"/>
      <protection/>
    </xf>
    <xf numFmtId="0" fontId="17" fillId="0" borderId="14" xfId="63" applyFont="1" applyBorder="1" applyAlignment="1">
      <alignment horizontal="center" wrapText="1"/>
      <protection/>
    </xf>
    <xf numFmtId="184" fontId="16" fillId="0" borderId="16" xfId="48" applyNumberFormat="1" applyFont="1" applyFill="1" applyBorder="1" applyAlignment="1">
      <alignment horizontal="center" wrapText="1"/>
    </xf>
    <xf numFmtId="184" fontId="17" fillId="0" borderId="27" xfId="48" applyNumberFormat="1" applyFont="1" applyBorder="1" applyAlignment="1">
      <alignment horizontal="center" wrapText="1"/>
    </xf>
    <xf numFmtId="0" fontId="14" fillId="0" borderId="14" xfId="63" applyFont="1" applyBorder="1" applyAlignment="1">
      <alignment horizontal="center" wrapText="1"/>
      <protection/>
    </xf>
    <xf numFmtId="0" fontId="19" fillId="0" borderId="11" xfId="63" applyFont="1" applyBorder="1" applyAlignment="1">
      <alignment horizontal="center" wrapText="1"/>
      <protection/>
    </xf>
    <xf numFmtId="184" fontId="15" fillId="0" borderId="14" xfId="48" applyNumberFormat="1" applyFont="1" applyFill="1" applyBorder="1" applyAlignment="1">
      <alignment horizontal="center" wrapText="1"/>
    </xf>
    <xf numFmtId="0" fontId="19" fillId="0" borderId="16" xfId="63" applyFont="1" applyBorder="1" applyAlignment="1">
      <alignment horizontal="center" wrapText="1"/>
      <protection/>
    </xf>
    <xf numFmtId="184" fontId="20" fillId="0" borderId="16" xfId="48" applyNumberFormat="1" applyFont="1" applyFill="1" applyBorder="1" applyAlignment="1">
      <alignment horizontal="center" wrapText="1"/>
    </xf>
    <xf numFmtId="0" fontId="19" fillId="0" borderId="11" xfId="63" applyFont="1" applyFill="1" applyBorder="1" applyAlignment="1">
      <alignment horizontal="center" wrapText="1"/>
      <protection/>
    </xf>
    <xf numFmtId="184" fontId="19" fillId="0" borderId="27" xfId="48" applyNumberFormat="1" applyFont="1" applyFill="1" applyBorder="1" applyAlignment="1">
      <alignment horizontal="center" wrapText="1"/>
    </xf>
    <xf numFmtId="0" fontId="19" fillId="0" borderId="16" xfId="63" applyFont="1" applyFill="1" applyBorder="1" applyAlignment="1">
      <alignment horizontal="center" wrapText="1"/>
      <protection/>
    </xf>
    <xf numFmtId="184" fontId="19" fillId="0" borderId="18" xfId="48" applyNumberFormat="1" applyFont="1" applyFill="1" applyBorder="1" applyAlignment="1">
      <alignment horizontal="center" wrapText="1"/>
    </xf>
    <xf numFmtId="0" fontId="0" fillId="0" borderId="0" xfId="63" applyFont="1" applyFill="1" applyAlignment="1">
      <alignment wrapText="1"/>
      <protection/>
    </xf>
    <xf numFmtId="0" fontId="0" fillId="0" borderId="0" xfId="63" applyFont="1" applyFill="1">
      <alignment/>
      <protection/>
    </xf>
    <xf numFmtId="184" fontId="17" fillId="0" borderId="16" xfId="48" applyNumberFormat="1" applyFont="1" applyFill="1" applyBorder="1" applyAlignment="1">
      <alignment horizontal="center" wrapText="1"/>
    </xf>
    <xf numFmtId="0" fontId="18" fillId="0" borderId="14" xfId="63" applyFont="1" applyBorder="1" applyAlignment="1">
      <alignment horizontal="center" wrapText="1"/>
      <protection/>
    </xf>
    <xf numFmtId="0" fontId="17" fillId="0" borderId="17" xfId="63" applyFont="1" applyFill="1" applyBorder="1" applyAlignment="1">
      <alignment horizontal="center" wrapText="1"/>
      <protection/>
    </xf>
    <xf numFmtId="0" fontId="19" fillId="0" borderId="18" xfId="63" applyFont="1" applyFill="1" applyBorder="1" applyAlignment="1">
      <alignment horizontal="center" wrapText="1"/>
      <protection/>
    </xf>
    <xf numFmtId="184" fontId="17" fillId="0" borderId="18" xfId="48" applyNumberFormat="1" applyFont="1" applyFill="1" applyBorder="1" applyAlignment="1">
      <alignment horizontal="center" wrapText="1"/>
    </xf>
    <xf numFmtId="184" fontId="19" fillId="0" borderId="16" xfId="48" applyNumberFormat="1" applyFont="1" applyFill="1" applyBorder="1" applyAlignment="1">
      <alignment horizontal="center" wrapText="1"/>
    </xf>
    <xf numFmtId="0" fontId="15" fillId="0" borderId="14" xfId="63" applyFont="1" applyFill="1" applyBorder="1" applyAlignment="1">
      <alignment horizontal="center" wrapText="1"/>
      <protection/>
    </xf>
    <xf numFmtId="0" fontId="1" fillId="0" borderId="0" xfId="63" applyFont="1" applyFill="1" applyAlignment="1">
      <alignment wrapText="1"/>
      <protection/>
    </xf>
    <xf numFmtId="0" fontId="1" fillId="0" borderId="0" xfId="63" applyFont="1" applyFill="1">
      <alignment/>
      <protection/>
    </xf>
    <xf numFmtId="184" fontId="17" fillId="0" borderId="23" xfId="48" applyNumberFormat="1" applyFont="1" applyFill="1" applyBorder="1" applyAlignment="1">
      <alignment horizontal="center" wrapText="1"/>
    </xf>
    <xf numFmtId="184" fontId="17" fillId="0" borderId="28" xfId="48" applyNumberFormat="1" applyFont="1" applyBorder="1" applyAlignment="1">
      <alignment horizontal="center" wrapText="1"/>
    </xf>
    <xf numFmtId="0" fontId="19" fillId="0" borderId="14" xfId="63" applyFont="1" applyFill="1" applyBorder="1" applyAlignment="1">
      <alignment horizontal="center" wrapText="1"/>
      <protection/>
    </xf>
    <xf numFmtId="184" fontId="19" fillId="0" borderId="23" xfId="48" applyNumberFormat="1" applyFont="1" applyFill="1" applyBorder="1" applyAlignment="1">
      <alignment horizontal="center" wrapText="1"/>
    </xf>
    <xf numFmtId="184" fontId="19" fillId="0" borderId="14" xfId="48" applyNumberFormat="1" applyFont="1" applyBorder="1" applyAlignment="1">
      <alignment horizontal="center" wrapText="1"/>
    </xf>
    <xf numFmtId="184" fontId="19" fillId="0" borderId="28" xfId="48" applyNumberFormat="1" applyFont="1" applyBorder="1" applyAlignment="1">
      <alignment horizontal="center" wrapText="1"/>
    </xf>
    <xf numFmtId="0" fontId="17" fillId="0" borderId="14" xfId="63" applyFont="1" applyBorder="1" applyAlignment="1">
      <alignment horizontal="center"/>
      <protection/>
    </xf>
    <xf numFmtId="0" fontId="17" fillId="0" borderId="17" xfId="63" applyFont="1" applyBorder="1" applyAlignment="1">
      <alignment horizontal="center" wrapText="1"/>
      <protection/>
    </xf>
    <xf numFmtId="0" fontId="17" fillId="0" borderId="18" xfId="63" applyFont="1" applyBorder="1" applyAlignment="1">
      <alignment horizontal="center" wrapText="1"/>
      <protection/>
    </xf>
    <xf numFmtId="184" fontId="17" fillId="0" borderId="16" xfId="48" applyNumberFormat="1" applyFont="1" applyBorder="1" applyAlignment="1">
      <alignment horizontal="center" wrapText="1"/>
    </xf>
    <xf numFmtId="184" fontId="19" fillId="0" borderId="14" xfId="48" applyNumberFormat="1" applyFont="1" applyFill="1" applyBorder="1" applyAlignment="1">
      <alignment horizontal="center" wrapText="1"/>
    </xf>
    <xf numFmtId="0" fontId="16" fillId="0" borderId="14" xfId="63" applyFont="1" applyBorder="1">
      <alignment/>
      <protection/>
    </xf>
    <xf numFmtId="0" fontId="16" fillId="0" borderId="14" xfId="63" applyFont="1" applyBorder="1" applyAlignment="1">
      <alignment horizontal="center"/>
      <protection/>
    </xf>
    <xf numFmtId="0" fontId="16" fillId="0" borderId="0" xfId="63" applyFont="1" applyAlignment="1">
      <alignment wrapText="1"/>
      <protection/>
    </xf>
    <xf numFmtId="0" fontId="16" fillId="0" borderId="0" xfId="63" applyFont="1">
      <alignment/>
      <protection/>
    </xf>
    <xf numFmtId="3" fontId="0" fillId="0" borderId="0" xfId="63" applyNumberFormat="1" applyFont="1">
      <alignment/>
      <protection/>
    </xf>
    <xf numFmtId="0" fontId="15" fillId="0" borderId="0" xfId="63" applyFont="1" applyFill="1">
      <alignment/>
      <protection/>
    </xf>
    <xf numFmtId="3" fontId="15" fillId="0" borderId="29" xfId="63" applyNumberFormat="1" applyFont="1" applyBorder="1">
      <alignment/>
      <protection/>
    </xf>
    <xf numFmtId="0" fontId="15" fillId="0" borderId="0" xfId="63" applyFont="1" applyFill="1" applyBorder="1">
      <alignment/>
      <protection/>
    </xf>
    <xf numFmtId="184" fontId="15" fillId="0" borderId="30" xfId="63" applyNumberFormat="1" applyFont="1" applyBorder="1">
      <alignment/>
      <protection/>
    </xf>
    <xf numFmtId="0" fontId="7" fillId="0" borderId="0" xfId="63" applyFont="1">
      <alignment/>
      <protection/>
    </xf>
    <xf numFmtId="184" fontId="15" fillId="0" borderId="0" xfId="63" applyNumberFormat="1" applyFont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quotePrefix="1">
      <alignment/>
      <protection/>
    </xf>
    <xf numFmtId="0" fontId="10" fillId="0" borderId="0" xfId="63" applyFont="1">
      <alignment/>
      <protection/>
    </xf>
    <xf numFmtId="184" fontId="10" fillId="0" borderId="0" xfId="48" applyNumberFormat="1" applyFont="1" applyFill="1" applyAlignment="1">
      <alignment/>
    </xf>
    <xf numFmtId="184" fontId="10" fillId="0" borderId="31" xfId="63" applyNumberFormat="1" applyFont="1" applyBorder="1">
      <alignment/>
      <protection/>
    </xf>
    <xf numFmtId="3" fontId="10" fillId="0" borderId="0" xfId="63" applyNumberFormat="1" applyFont="1" applyFill="1">
      <alignment/>
      <protection/>
    </xf>
    <xf numFmtId="0" fontId="17" fillId="0" borderId="12" xfId="63" applyFont="1" applyBorder="1" applyAlignment="1">
      <alignment horizontal="center" wrapText="1"/>
      <protection/>
    </xf>
    <xf numFmtId="0" fontId="1" fillId="0" borderId="11" xfId="63" applyFont="1" applyBorder="1">
      <alignment/>
      <protection/>
    </xf>
    <xf numFmtId="3" fontId="16" fillId="0" borderId="16" xfId="63" applyNumberFormat="1" applyFont="1" applyFill="1" applyBorder="1" applyAlignment="1">
      <alignment horizontal="center"/>
      <protection/>
    </xf>
    <xf numFmtId="3" fontId="16" fillId="0" borderId="16" xfId="63" applyNumberFormat="1" applyFont="1" applyBorder="1">
      <alignment/>
      <protection/>
    </xf>
    <xf numFmtId="3" fontId="16" fillId="0" borderId="27" xfId="63" applyNumberFormat="1" applyFont="1" applyBorder="1" applyAlignment="1">
      <alignment horizontal="center"/>
      <protection/>
    </xf>
    <xf numFmtId="0" fontId="16" fillId="0" borderId="11" xfId="63" applyFont="1" applyFill="1" applyBorder="1">
      <alignment/>
      <protection/>
    </xf>
    <xf numFmtId="3" fontId="16" fillId="0" borderId="16" xfId="63" applyNumberFormat="1" applyFont="1" applyBorder="1" applyAlignment="1">
      <alignment horizontal="center"/>
      <protection/>
    </xf>
    <xf numFmtId="3" fontId="15" fillId="0" borderId="18" xfId="63" applyNumberFormat="1" applyFont="1" applyFill="1" applyBorder="1" applyAlignment="1">
      <alignment horizontal="center" wrapText="1"/>
      <protection/>
    </xf>
    <xf numFmtId="0" fontId="15" fillId="0" borderId="18" xfId="63" applyFont="1" applyFill="1" applyBorder="1" applyAlignment="1">
      <alignment horizontal="center" wrapText="1"/>
      <protection/>
    </xf>
    <xf numFmtId="0" fontId="15" fillId="0" borderId="18" xfId="63" applyFont="1" applyBorder="1" applyAlignment="1">
      <alignment horizontal="center" wrapText="1"/>
      <protection/>
    </xf>
    <xf numFmtId="184" fontId="17" fillId="0" borderId="28" xfId="48" applyNumberFormat="1" applyFont="1" applyFill="1" applyBorder="1" applyAlignment="1">
      <alignment horizontal="center" wrapText="1"/>
    </xf>
    <xf numFmtId="3" fontId="15" fillId="0" borderId="22" xfId="63" applyNumberFormat="1" applyFont="1" applyFill="1" applyBorder="1" applyAlignment="1">
      <alignment horizontal="center" wrapText="1"/>
      <protection/>
    </xf>
    <xf numFmtId="0" fontId="15" fillId="0" borderId="22" xfId="63" applyFont="1" applyFill="1" applyBorder="1" applyAlignment="1">
      <alignment horizontal="center" wrapText="1"/>
      <protection/>
    </xf>
    <xf numFmtId="3" fontId="15" fillId="0" borderId="22" xfId="63" applyNumberFormat="1" applyFont="1" applyBorder="1" applyAlignment="1">
      <alignment horizontal="center" wrapText="1"/>
      <protection/>
    </xf>
    <xf numFmtId="0" fontId="18" fillId="0" borderId="23" xfId="63" applyFont="1" applyBorder="1" applyAlignment="1">
      <alignment horizontal="center" wrapText="1"/>
      <protection/>
    </xf>
    <xf numFmtId="3" fontId="16" fillId="0" borderId="22" xfId="63" applyNumberFormat="1" applyFont="1" applyFill="1" applyBorder="1" applyAlignment="1">
      <alignment horizontal="center" wrapText="1"/>
      <protection/>
    </xf>
    <xf numFmtId="3" fontId="17" fillId="0" borderId="22" xfId="63" applyNumberFormat="1" applyFont="1" applyBorder="1" applyAlignment="1">
      <alignment horizontal="center" wrapText="1"/>
      <protection/>
    </xf>
    <xf numFmtId="0" fontId="14" fillId="0" borderId="23" xfId="63" applyFont="1" applyBorder="1" applyAlignment="1">
      <alignment horizontal="center" wrapText="1"/>
      <protection/>
    </xf>
    <xf numFmtId="3" fontId="19" fillId="0" borderId="22" xfId="45" applyNumberFormat="1" applyFont="1" applyFill="1" applyBorder="1" applyAlignment="1">
      <alignment horizontal="center" wrapText="1"/>
    </xf>
    <xf numFmtId="3" fontId="19" fillId="0" borderId="22" xfId="63" applyNumberFormat="1" applyFont="1" applyBorder="1" applyAlignment="1">
      <alignment horizontal="center" wrapText="1"/>
      <protection/>
    </xf>
    <xf numFmtId="3" fontId="15" fillId="0" borderId="22" xfId="45" applyNumberFormat="1" applyFont="1" applyFill="1" applyBorder="1" applyAlignment="1">
      <alignment horizontal="center" wrapText="1"/>
    </xf>
    <xf numFmtId="41" fontId="15" fillId="0" borderId="22" xfId="45" applyFont="1" applyFill="1" applyBorder="1" applyAlignment="1">
      <alignment horizontal="center" wrapText="1"/>
    </xf>
    <xf numFmtId="41" fontId="16" fillId="0" borderId="22" xfId="45" applyFont="1" applyFill="1" applyBorder="1" applyAlignment="1">
      <alignment horizontal="center" wrapText="1"/>
    </xf>
    <xf numFmtId="0" fontId="16" fillId="0" borderId="0" xfId="63" applyFont="1" applyBorder="1">
      <alignment/>
      <protection/>
    </xf>
    <xf numFmtId="0" fontId="16" fillId="0" borderId="0" xfId="63" applyFont="1" applyBorder="1" applyAlignment="1">
      <alignment horizontal="center"/>
      <protection/>
    </xf>
    <xf numFmtId="3" fontId="16" fillId="0" borderId="0" xfId="63" applyNumberFormat="1" applyFont="1" applyFill="1" applyBorder="1">
      <alignment/>
      <protection/>
    </xf>
    <xf numFmtId="3" fontId="16" fillId="0" borderId="0" xfId="63" applyNumberFormat="1" applyFont="1" applyBorder="1">
      <alignment/>
      <protection/>
    </xf>
    <xf numFmtId="3" fontId="16" fillId="0" borderId="25" xfId="63" applyNumberFormat="1" applyFont="1" applyFill="1" applyBorder="1">
      <alignment/>
      <protection/>
    </xf>
    <xf numFmtId="3" fontId="16" fillId="0" borderId="32" xfId="63" applyNumberFormat="1" applyFont="1" applyBorder="1">
      <alignment/>
      <protection/>
    </xf>
    <xf numFmtId="3" fontId="16" fillId="0" borderId="33" xfId="63" applyNumberFormat="1" applyFont="1" applyBorder="1">
      <alignment/>
      <protection/>
    </xf>
    <xf numFmtId="3" fontId="16" fillId="0" borderId="32" xfId="63" applyNumberFormat="1" applyFont="1" applyFill="1" applyBorder="1">
      <alignment/>
      <protection/>
    </xf>
    <xf numFmtId="6" fontId="0" fillId="0" borderId="0" xfId="63" applyNumberFormat="1" applyFont="1" applyAlignment="1">
      <alignment horizontal="left" wrapText="1"/>
      <protection/>
    </xf>
    <xf numFmtId="178" fontId="0" fillId="0" borderId="12" xfId="63" applyNumberFormat="1" applyFill="1" applyBorder="1" applyAlignment="1">
      <alignment horizontal="right"/>
      <protection/>
    </xf>
    <xf numFmtId="177" fontId="0" fillId="0" borderId="11" xfId="42" applyNumberFormat="1" applyFont="1" applyFill="1" applyBorder="1" applyAlignment="1">
      <alignment horizontal="right"/>
    </xf>
    <xf numFmtId="177" fontId="0" fillId="0" borderId="0" xfId="42" applyNumberFormat="1" applyFont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9" fillId="0" borderId="13" xfId="63" applyFont="1" applyBorder="1" applyAlignment="1">
      <alignment horizontal="center" wrapText="1"/>
      <protection/>
    </xf>
    <xf numFmtId="0" fontId="19" fillId="0" borderId="14" xfId="63" applyFont="1" applyBorder="1" applyAlignment="1">
      <alignment horizontal="left" wrapText="1"/>
      <protection/>
    </xf>
    <xf numFmtId="184" fontId="19" fillId="0" borderId="11" xfId="48" applyNumberFormat="1" applyFont="1" applyFill="1" applyBorder="1" applyAlignment="1">
      <alignment horizontal="center" wrapText="1"/>
    </xf>
    <xf numFmtId="184" fontId="19" fillId="0" borderId="11" xfId="48" applyNumberFormat="1" applyFont="1" applyBorder="1" applyAlignment="1">
      <alignment horizontal="center" wrapText="1"/>
    </xf>
    <xf numFmtId="0" fontId="19" fillId="0" borderId="16" xfId="63" applyFont="1" applyBorder="1" applyAlignment="1">
      <alignment horizontal="left" wrapText="1"/>
      <protection/>
    </xf>
    <xf numFmtId="0" fontId="19" fillId="0" borderId="16" xfId="63" applyFont="1" applyFill="1" applyBorder="1" applyAlignment="1">
      <alignment horizontal="left" wrapText="1"/>
      <protection/>
    </xf>
    <xf numFmtId="0" fontId="19" fillId="0" borderId="18" xfId="63" applyFont="1" applyFill="1" applyBorder="1" applyAlignment="1">
      <alignment horizontal="left" wrapText="1"/>
      <protection/>
    </xf>
    <xf numFmtId="184" fontId="15" fillId="0" borderId="0" xfId="48" applyNumberFormat="1" applyFont="1" applyAlignment="1">
      <alignment/>
    </xf>
    <xf numFmtId="184" fontId="15" fillId="0" borderId="31" xfId="63" applyNumberFormat="1" applyFont="1" applyBorder="1">
      <alignment/>
      <protection/>
    </xf>
    <xf numFmtId="3" fontId="17" fillId="0" borderId="19" xfId="45" applyNumberFormat="1" applyFont="1" applyFill="1" applyBorder="1" applyAlignment="1">
      <alignment horizontal="center" wrapText="1"/>
    </xf>
    <xf numFmtId="0" fontId="18" fillId="0" borderId="19" xfId="63" applyFont="1" applyBorder="1" applyAlignment="1">
      <alignment horizontal="center" wrapText="1"/>
      <protection/>
    </xf>
    <xf numFmtId="3" fontId="0" fillId="0" borderId="0" xfId="0" applyNumberFormat="1" applyFont="1" applyAlignment="1" quotePrefix="1">
      <alignment horizontal="center"/>
    </xf>
    <xf numFmtId="0" fontId="0" fillId="0" borderId="12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77" fontId="0" fillId="0" borderId="12" xfId="42" applyNumberFormat="1" applyFont="1" applyFill="1" applyBorder="1" applyAlignment="1">
      <alignment/>
    </xf>
    <xf numFmtId="177" fontId="0" fillId="0" borderId="12" xfId="42" applyNumberFormat="1" applyFont="1" applyBorder="1" applyAlignment="1">
      <alignment horizontal="right"/>
    </xf>
    <xf numFmtId="177" fontId="1" fillId="0" borderId="14" xfId="42" applyNumberFormat="1" applyFon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0" fontId="0" fillId="0" borderId="13" xfId="63" applyFont="1" applyBorder="1" applyAlignment="1">
      <alignment vertical="top" wrapText="1"/>
      <protection/>
    </xf>
    <xf numFmtId="177" fontId="0" fillId="0" borderId="19" xfId="42" applyNumberFormat="1" applyFont="1" applyBorder="1" applyAlignment="1">
      <alignment horizontal="right"/>
    </xf>
    <xf numFmtId="177" fontId="0" fillId="0" borderId="12" xfId="42" applyNumberFormat="1" applyFont="1" applyBorder="1" applyAlignment="1">
      <alignment/>
    </xf>
    <xf numFmtId="183" fontId="1" fillId="0" borderId="12" xfId="0" applyNumberFormat="1" applyFont="1" applyBorder="1" applyAlignment="1">
      <alignment horizontal="center"/>
    </xf>
    <xf numFmtId="177" fontId="0" fillId="0" borderId="10" xfId="42" applyNumberFormat="1" applyFont="1" applyBorder="1" applyAlignment="1">
      <alignment/>
    </xf>
    <xf numFmtId="177" fontId="0" fillId="0" borderId="12" xfId="42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181" fontId="13" fillId="0" borderId="12" xfId="0" applyNumberFormat="1" applyFont="1" applyFill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16" fontId="10" fillId="0" borderId="14" xfId="0" applyNumberFormat="1" applyFont="1" applyBorder="1" applyAlignment="1">
      <alignment horizontal="center"/>
    </xf>
    <xf numFmtId="16" fontId="10" fillId="0" borderId="14" xfId="0" applyNumberFormat="1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14" xfId="0" applyFont="1" applyBorder="1" applyAlignment="1">
      <alignment wrapText="1"/>
    </xf>
    <xf numFmtId="43" fontId="0" fillId="0" borderId="12" xfId="42" applyFont="1" applyFill="1" applyBorder="1" applyAlignment="1">
      <alignment/>
    </xf>
    <xf numFmtId="9" fontId="0" fillId="0" borderId="0" xfId="66" applyFont="1" applyAlignment="1">
      <alignment/>
    </xf>
    <xf numFmtId="0" fontId="8" fillId="0" borderId="0" xfId="63" applyFont="1" applyAlignment="1">
      <alignment/>
      <protection/>
    </xf>
    <xf numFmtId="43" fontId="19" fillId="0" borderId="16" xfId="49" applyFont="1" applyBorder="1" applyAlignment="1">
      <alignment horizontal="center" wrapText="1"/>
    </xf>
    <xf numFmtId="43" fontId="19" fillId="0" borderId="27" xfId="49" applyFont="1" applyBorder="1" applyAlignment="1">
      <alignment horizontal="center" wrapText="1"/>
    </xf>
    <xf numFmtId="43" fontId="15" fillId="0" borderId="16" xfId="49" applyFont="1" applyFill="1" applyBorder="1" applyAlignment="1">
      <alignment horizontal="center" wrapText="1"/>
    </xf>
    <xf numFmtId="43" fontId="15" fillId="0" borderId="11" xfId="49" applyFont="1" applyFill="1" applyBorder="1" applyAlignment="1">
      <alignment horizontal="center" wrapText="1"/>
    </xf>
    <xf numFmtId="43" fontId="15" fillId="0" borderId="14" xfId="49" applyFont="1" applyFill="1" applyBorder="1" applyAlignment="1">
      <alignment horizontal="center" wrapText="1"/>
    </xf>
    <xf numFmtId="43" fontId="15" fillId="0" borderId="14" xfId="49" applyFont="1" applyBorder="1" applyAlignment="1">
      <alignment horizontal="center" wrapText="1"/>
    </xf>
    <xf numFmtId="43" fontId="17" fillId="0" borderId="23" xfId="49" applyFont="1" applyFill="1" applyBorder="1" applyAlignment="1">
      <alignment horizontal="center" wrapText="1"/>
    </xf>
    <xf numFmtId="43" fontId="17" fillId="0" borderId="28" xfId="49" applyFont="1" applyBorder="1" applyAlignment="1">
      <alignment horizontal="center" wrapText="1"/>
    </xf>
    <xf numFmtId="43" fontId="16" fillId="0" borderId="14" xfId="49" applyFont="1" applyBorder="1" applyAlignment="1">
      <alignment horizontal="center" wrapText="1"/>
    </xf>
    <xf numFmtId="177" fontId="17" fillId="0" borderId="28" xfId="49" applyNumberFormat="1" applyFont="1" applyBorder="1" applyAlignment="1">
      <alignment horizontal="center" wrapText="1"/>
    </xf>
    <xf numFmtId="177" fontId="17" fillId="0" borderId="23" xfId="49" applyNumberFormat="1" applyFont="1" applyFill="1" applyBorder="1" applyAlignment="1">
      <alignment horizontal="center" wrapText="1"/>
    </xf>
    <xf numFmtId="177" fontId="16" fillId="0" borderId="14" xfId="49" applyNumberFormat="1" applyFont="1" applyBorder="1" applyAlignment="1">
      <alignment horizontal="center" wrapText="1"/>
    </xf>
    <xf numFmtId="43" fontId="17" fillId="0" borderId="19" xfId="49" applyFont="1" applyFill="1" applyBorder="1" applyAlignment="1">
      <alignment horizontal="center" wrapText="1"/>
    </xf>
    <xf numFmtId="43" fontId="17" fillId="0" borderId="36" xfId="49" applyFont="1" applyBorder="1" applyAlignment="1">
      <alignment horizontal="center" wrapText="1"/>
    </xf>
    <xf numFmtId="43" fontId="16" fillId="0" borderId="19" xfId="49" applyFont="1" applyBorder="1" applyAlignment="1">
      <alignment horizontal="center" wrapText="1"/>
    </xf>
    <xf numFmtId="177" fontId="16" fillId="0" borderId="0" xfId="49" applyNumberFormat="1" applyFont="1" applyAlignment="1">
      <alignment/>
    </xf>
    <xf numFmtId="177" fontId="0" fillId="0" borderId="0" xfId="42" applyNumberFormat="1" applyFont="1" applyFill="1" applyAlignment="1">
      <alignment/>
    </xf>
    <xf numFmtId="186" fontId="0" fillId="0" borderId="12" xfId="63" applyNumberFormat="1" applyBorder="1" applyAlignment="1">
      <alignment horizontal="right"/>
      <protection/>
    </xf>
    <xf numFmtId="177" fontId="0" fillId="0" borderId="12" xfId="42" applyNumberFormat="1" applyFont="1" applyFill="1" applyBorder="1" applyAlignment="1">
      <alignment horizontal="right"/>
    </xf>
    <xf numFmtId="177" fontId="0" fillId="0" borderId="0" xfId="0" applyNumberFormat="1" applyAlignment="1">
      <alignment/>
    </xf>
    <xf numFmtId="177" fontId="0" fillId="0" borderId="12" xfId="42" applyNumberFormat="1" applyFont="1" applyFill="1" applyBorder="1" applyAlignment="1">
      <alignment horizontal="right"/>
    </xf>
    <xf numFmtId="181" fontId="0" fillId="36" borderId="12" xfId="0" applyNumberFormat="1" applyFill="1" applyBorder="1" applyAlignment="1">
      <alignment/>
    </xf>
    <xf numFmtId="177" fontId="1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17" fillId="0" borderId="10" xfId="63" applyFont="1" applyBorder="1" applyAlignment="1">
      <alignment horizontal="center" wrapText="1"/>
      <protection/>
    </xf>
    <xf numFmtId="0" fontId="17" fillId="0" borderId="11" xfId="63" applyFont="1" applyBorder="1" applyAlignment="1">
      <alignment horizontal="center" wrapText="1"/>
      <protection/>
    </xf>
    <xf numFmtId="0" fontId="17" fillId="0" borderId="21" xfId="63" applyFont="1" applyBorder="1" applyAlignment="1">
      <alignment horizontal="left" wrapText="1"/>
      <protection/>
    </xf>
    <xf numFmtId="0" fontId="17" fillId="0" borderId="22" xfId="63" applyFont="1" applyBorder="1" applyAlignment="1">
      <alignment horizontal="left" wrapText="1"/>
      <protection/>
    </xf>
    <xf numFmtId="0" fontId="17" fillId="0" borderId="21" xfId="63" applyFont="1" applyBorder="1" applyAlignment="1">
      <alignment horizontal="center" wrapText="1"/>
      <protection/>
    </xf>
    <xf numFmtId="0" fontId="17" fillId="0" borderId="22" xfId="63" applyFont="1" applyBorder="1" applyAlignment="1">
      <alignment horizontal="center" wrapText="1"/>
      <protection/>
    </xf>
    <xf numFmtId="0" fontId="17" fillId="0" borderId="10" xfId="63" applyFont="1" applyFill="1" applyBorder="1" applyAlignment="1">
      <alignment horizontal="center" wrapText="1"/>
      <protection/>
    </xf>
    <xf numFmtId="0" fontId="17" fillId="0" borderId="11" xfId="63" applyFont="1" applyFill="1" applyBorder="1" applyAlignment="1">
      <alignment horizontal="center" wrapText="1"/>
      <protection/>
    </xf>
    <xf numFmtId="0" fontId="1" fillId="0" borderId="21" xfId="63" applyFont="1" applyBorder="1" applyAlignment="1">
      <alignment horizontal="center"/>
      <protection/>
    </xf>
    <xf numFmtId="0" fontId="0" fillId="0" borderId="22" xfId="63" applyBorder="1" applyAlignment="1">
      <alignment horizontal="center"/>
      <protection/>
    </xf>
    <xf numFmtId="0" fontId="0" fillId="0" borderId="23" xfId="63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2" xfId="46"/>
    <cellStyle name="Comma 2 2" xfId="47"/>
    <cellStyle name="Comma 3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0910\Reports\DETAIL%20BUDGET%2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"/>
      <sheetName val="POSTS"/>
      <sheetName val="CLR ALL^"/>
      <sheetName val="SALARY!!!!!!"/>
      <sheetName val="SAL SUM!!!!!"/>
      <sheetName val="B&amp;T"/>
      <sheetName val="MM"/>
      <sheetName val="CSSS"/>
      <sheetName val="Planning"/>
      <sheetName val="ID"/>
      <sheetName val="EMO"/>
      <sheetName val="SDCS"/>
      <sheetName val="FIRE"/>
      <sheetName val="MUN H"/>
      <sheetName val="Abattoir"/>
      <sheetName val="ACTUAL 0708#"/>
      <sheetName val="ESTIMATE 0809#"/>
      <sheetName val="1011#"/>
      <sheetName val="1112#"/>
      <sheetName val="TOTAL 0910"/>
      <sheetName val="Salaries"/>
      <sheetName val="SUM"/>
    </sheetNames>
    <sheetDataSet>
      <sheetData sheetId="19">
        <row r="94">
          <cell r="N94">
            <v>389334.12</v>
          </cell>
        </row>
        <row r="112">
          <cell r="N112">
            <v>6400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41.421875" style="0" customWidth="1"/>
    <col min="2" max="2" width="16.57421875" style="0" bestFit="1" customWidth="1"/>
    <col min="3" max="3" width="13.7109375" style="0" customWidth="1"/>
    <col min="4" max="4" width="13.140625" style="0" customWidth="1"/>
    <col min="5" max="5" width="13.421875" style="0" customWidth="1"/>
    <col min="6" max="6" width="15.140625" style="0" customWidth="1"/>
    <col min="7" max="8" width="16.28125" style="0" customWidth="1"/>
  </cols>
  <sheetData>
    <row r="1" spans="1:8" ht="12.75">
      <c r="A1" s="63"/>
      <c r="B1" s="1" t="s">
        <v>37</v>
      </c>
      <c r="C1" s="21" t="s">
        <v>1</v>
      </c>
      <c r="D1" s="68"/>
      <c r="E1" s="69"/>
      <c r="F1" s="65" t="s">
        <v>81</v>
      </c>
      <c r="G1" s="66"/>
      <c r="H1" s="67"/>
    </row>
    <row r="2" spans="1:8" ht="12.75">
      <c r="A2" s="9" t="s">
        <v>32</v>
      </c>
      <c r="B2" s="131" t="s">
        <v>17</v>
      </c>
      <c r="C2" s="70" t="s">
        <v>18</v>
      </c>
      <c r="D2" s="133"/>
      <c r="E2" s="61"/>
      <c r="F2" s="62" t="s">
        <v>5</v>
      </c>
      <c r="G2" s="9" t="s">
        <v>2</v>
      </c>
      <c r="H2" s="9" t="s">
        <v>3</v>
      </c>
    </row>
    <row r="3" spans="1:8" ht="12.75">
      <c r="A3" s="9"/>
      <c r="B3" s="25"/>
      <c r="C3" s="27"/>
      <c r="D3" s="26"/>
      <c r="E3" s="22"/>
      <c r="F3" s="135" t="s">
        <v>89</v>
      </c>
      <c r="G3" s="135" t="s">
        <v>185</v>
      </c>
      <c r="H3" s="135" t="s">
        <v>227</v>
      </c>
    </row>
    <row r="4" spans="1:8" ht="25.5">
      <c r="A4" s="9" t="s">
        <v>16</v>
      </c>
      <c r="B4" s="178" t="s">
        <v>38</v>
      </c>
      <c r="C4" s="179" t="s">
        <v>39</v>
      </c>
      <c r="D4" s="179" t="s">
        <v>7</v>
      </c>
      <c r="E4" s="180" t="s">
        <v>8</v>
      </c>
      <c r="F4" s="10" t="s">
        <v>4</v>
      </c>
      <c r="G4" s="10" t="s">
        <v>4</v>
      </c>
      <c r="H4" s="10" t="s">
        <v>4</v>
      </c>
    </row>
    <row r="5" spans="1:8" ht="12.75">
      <c r="A5" s="9"/>
      <c r="B5" s="132" t="s">
        <v>186</v>
      </c>
      <c r="C5" s="9" t="s">
        <v>186</v>
      </c>
      <c r="D5" s="9" t="s">
        <v>186</v>
      </c>
      <c r="E5" s="9" t="s">
        <v>186</v>
      </c>
      <c r="F5" s="9" t="s">
        <v>187</v>
      </c>
      <c r="G5" s="9" t="s">
        <v>186</v>
      </c>
      <c r="H5" s="9" t="s">
        <v>186</v>
      </c>
    </row>
    <row r="6" spans="1:8" ht="12.75">
      <c r="A6" s="4"/>
      <c r="B6" s="24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3" t="s">
        <v>14</v>
      </c>
      <c r="H6" s="23" t="s">
        <v>15</v>
      </c>
    </row>
    <row r="7" spans="1:8" ht="12.75">
      <c r="A7" s="18" t="s">
        <v>6</v>
      </c>
      <c r="B7" s="79"/>
      <c r="C7" s="79"/>
      <c r="D7" s="79"/>
      <c r="E7" s="79"/>
      <c r="F7" s="79"/>
      <c r="G7" s="79"/>
      <c r="H7" s="79"/>
    </row>
    <row r="8" spans="1:8" ht="12.75">
      <c r="A8" s="3"/>
      <c r="B8" s="79"/>
      <c r="C8" s="79"/>
      <c r="D8" s="79"/>
      <c r="E8" s="79"/>
      <c r="F8" s="79"/>
      <c r="G8" s="79"/>
      <c r="H8" s="79"/>
    </row>
    <row r="9" spans="1:8" ht="12" hidden="1">
      <c r="A9" s="8" t="s">
        <v>41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</row>
    <row r="10" spans="1:8" ht="12" hidden="1">
      <c r="A10" s="8" t="s">
        <v>42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</row>
    <row r="11" spans="1:8" ht="12" hidden="1">
      <c r="A11" s="6" t="s">
        <v>43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</row>
    <row r="12" spans="1:8" ht="12" hidden="1">
      <c r="A12" s="6" t="s">
        <v>44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</row>
    <row r="13" spans="1:8" ht="12" hidden="1">
      <c r="A13" s="6" t="s">
        <v>45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</row>
    <row r="14" spans="1:8" ht="12" hidden="1">
      <c r="A14" s="6" t="s">
        <v>46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</row>
    <row r="15" spans="1:8" ht="12">
      <c r="A15" s="6" t="s">
        <v>101</v>
      </c>
      <c r="B15" s="80">
        <v>1875350</v>
      </c>
      <c r="C15" s="80">
        <v>1808300</v>
      </c>
      <c r="D15" s="80">
        <v>1427500</v>
      </c>
      <c r="E15" s="81">
        <v>1134500</v>
      </c>
      <c r="F15" s="80">
        <v>1316370</v>
      </c>
      <c r="G15" s="80">
        <v>1474334.4000000001</v>
      </c>
      <c r="H15" s="80">
        <v>1651254.5280000004</v>
      </c>
    </row>
    <row r="16" spans="1:8" ht="12">
      <c r="A16" s="19" t="s">
        <v>225</v>
      </c>
      <c r="B16" s="80">
        <v>296585</v>
      </c>
      <c r="C16" s="80">
        <v>0</v>
      </c>
      <c r="D16" s="80">
        <v>205215</v>
      </c>
      <c r="E16" s="81">
        <v>205215</v>
      </c>
      <c r="F16" s="80">
        <v>0</v>
      </c>
      <c r="G16" s="80">
        <v>0</v>
      </c>
      <c r="H16" s="80">
        <v>0</v>
      </c>
    </row>
    <row r="17" spans="1:8" ht="12">
      <c r="A17" s="19" t="s">
        <v>226</v>
      </c>
      <c r="B17" s="80">
        <v>11016163</v>
      </c>
      <c r="C17" s="80">
        <v>4700000</v>
      </c>
      <c r="D17" s="80">
        <v>4964785</v>
      </c>
      <c r="E17" s="81">
        <v>9600000</v>
      </c>
      <c r="F17" s="80">
        <v>10200000</v>
      </c>
      <c r="G17" s="113">
        <v>9720000</v>
      </c>
      <c r="H17" s="80">
        <v>9240000</v>
      </c>
    </row>
    <row r="18" spans="1:8" ht="12">
      <c r="A18" s="6" t="s">
        <v>51</v>
      </c>
      <c r="B18" s="80">
        <v>5361</v>
      </c>
      <c r="C18" s="80">
        <v>0</v>
      </c>
      <c r="D18" s="80">
        <v>0</v>
      </c>
      <c r="E18" s="81">
        <v>0</v>
      </c>
      <c r="F18" s="80">
        <v>0</v>
      </c>
      <c r="G18" s="80">
        <v>0</v>
      </c>
      <c r="H18" s="80">
        <v>0</v>
      </c>
    </row>
    <row r="19" spans="1:8" ht="12">
      <c r="A19" s="6" t="s">
        <v>52</v>
      </c>
      <c r="B19" s="80">
        <v>65799440</v>
      </c>
      <c r="C19" s="80">
        <v>68671000</v>
      </c>
      <c r="D19" s="80">
        <v>78253363</v>
      </c>
      <c r="E19" s="81">
        <v>78269954</v>
      </c>
      <c r="F19" s="81">
        <f>87784332</f>
        <v>87784332</v>
      </c>
      <c r="G19" s="81">
        <v>94253510</v>
      </c>
      <c r="H19" s="81">
        <v>98913186</v>
      </c>
    </row>
    <row r="20" spans="1:8" ht="12">
      <c r="A20" s="15" t="s">
        <v>53</v>
      </c>
      <c r="B20" s="80">
        <v>506850</v>
      </c>
      <c r="C20" s="80">
        <v>0</v>
      </c>
      <c r="D20" s="80">
        <v>0</v>
      </c>
      <c r="E20" s="81">
        <v>0</v>
      </c>
      <c r="F20" s="80">
        <v>0</v>
      </c>
      <c r="G20" s="80">
        <v>0</v>
      </c>
      <c r="H20" s="80">
        <v>0</v>
      </c>
    </row>
    <row r="21" spans="1:8" ht="12">
      <c r="A21" s="6" t="s">
        <v>54</v>
      </c>
      <c r="B21" s="80">
        <v>0</v>
      </c>
      <c r="C21" s="80">
        <v>0</v>
      </c>
      <c r="D21" s="80">
        <v>0</v>
      </c>
      <c r="E21" s="81">
        <v>0</v>
      </c>
      <c r="F21" s="80">
        <v>0</v>
      </c>
      <c r="G21" s="80">
        <v>0</v>
      </c>
      <c r="H21" s="80">
        <v>0</v>
      </c>
    </row>
    <row r="22" spans="1:8" ht="12">
      <c r="A22" s="5" t="s">
        <v>90</v>
      </c>
      <c r="B22" s="82">
        <v>313790</v>
      </c>
      <c r="C22" s="82">
        <v>101500</v>
      </c>
      <c r="D22" s="82">
        <v>101500</v>
      </c>
      <c r="E22" s="316">
        <v>289535</v>
      </c>
      <c r="F22" s="82">
        <v>75500</v>
      </c>
      <c r="G22" s="82">
        <v>58050</v>
      </c>
      <c r="H22" s="82">
        <v>50850</v>
      </c>
    </row>
    <row r="23" spans="1:8" ht="12.75">
      <c r="A23" s="14" t="s">
        <v>84</v>
      </c>
      <c r="B23" s="29">
        <f aca="true" t="shared" si="0" ref="B23:H23">SUM(B9:B22)</f>
        <v>79813539</v>
      </c>
      <c r="C23" s="29">
        <f t="shared" si="0"/>
        <v>75280800</v>
      </c>
      <c r="D23" s="29">
        <f t="shared" si="0"/>
        <v>84952363</v>
      </c>
      <c r="E23" s="29">
        <f t="shared" si="0"/>
        <v>89499204</v>
      </c>
      <c r="F23" s="29">
        <f t="shared" si="0"/>
        <v>99376202</v>
      </c>
      <c r="G23" s="29">
        <f t="shared" si="0"/>
        <v>105505894.4</v>
      </c>
      <c r="H23" s="29">
        <f t="shared" si="0"/>
        <v>109855290.528</v>
      </c>
    </row>
    <row r="24" ht="12">
      <c r="B24" t="s">
        <v>19</v>
      </c>
    </row>
    <row r="25" ht="12">
      <c r="A25" s="72" t="s">
        <v>40</v>
      </c>
    </row>
    <row r="26" ht="12">
      <c r="A26" s="73" t="s">
        <v>228</v>
      </c>
    </row>
    <row r="27" spans="1:8" ht="12">
      <c r="A27" s="73" t="s">
        <v>229</v>
      </c>
      <c r="E27" s="33"/>
      <c r="F27" s="33"/>
      <c r="G27" s="33"/>
      <c r="H27" s="33"/>
    </row>
    <row r="28" ht="12">
      <c r="A28" s="73" t="s">
        <v>230</v>
      </c>
    </row>
    <row r="29" ht="12">
      <c r="A29" s="73" t="s">
        <v>231</v>
      </c>
    </row>
    <row r="30" ht="12">
      <c r="A30" s="73" t="s">
        <v>232</v>
      </c>
    </row>
    <row r="31" ht="12">
      <c r="A31" s="73" t="s">
        <v>233</v>
      </c>
    </row>
    <row r="32" ht="12">
      <c r="A32" s="73" t="s">
        <v>234</v>
      </c>
    </row>
    <row r="34" ht="12">
      <c r="A34" s="72"/>
    </row>
    <row r="35" ht="12">
      <c r="A35" s="73"/>
    </row>
    <row r="36" ht="12">
      <c r="A36" s="73"/>
    </row>
    <row r="37" ht="12">
      <c r="A37" s="73"/>
    </row>
    <row r="38" spans="1:6" ht="12">
      <c r="A38" s="73"/>
      <c r="E38" s="370">
        <f>E19/E23</f>
        <v>0.8745324036624952</v>
      </c>
      <c r="F38" s="370">
        <f>F19/F23</f>
        <v>0.8833536624794737</v>
      </c>
    </row>
    <row r="39" ht="12">
      <c r="A39" s="73"/>
    </row>
  </sheetData>
  <sheetProtection/>
  <printOptions/>
  <pageMargins left="0.33" right="0.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9">
      <selection activeCell="P54" sqref="P54"/>
    </sheetView>
  </sheetViews>
  <sheetFormatPr defaultColWidth="9.140625" defaultRowHeight="12.75"/>
  <cols>
    <col min="1" max="1" width="38.00390625" style="0" customWidth="1"/>
    <col min="2" max="13" width="11.28125" style="0" bestFit="1" customWidth="1"/>
    <col min="14" max="16" width="12.28125" style="0" bestFit="1" customWidth="1"/>
    <col min="17" max="17" width="10.7109375" style="0" bestFit="1" customWidth="1"/>
    <col min="18" max="18" width="14.00390625" style="0" bestFit="1" customWidth="1"/>
  </cols>
  <sheetData>
    <row r="1" spans="2:9" ht="18">
      <c r="B1" s="395" t="s">
        <v>219</v>
      </c>
      <c r="C1" s="396"/>
      <c r="D1" s="396"/>
      <c r="E1" s="396"/>
      <c r="F1" s="396"/>
      <c r="G1" s="396"/>
      <c r="H1" s="396"/>
      <c r="I1" s="396"/>
    </row>
    <row r="2" spans="3:5" ht="18">
      <c r="C2" s="104"/>
      <c r="D2" s="105"/>
      <c r="E2" s="104"/>
    </row>
    <row r="3" spans="2:9" ht="18">
      <c r="B3" s="395" t="s">
        <v>220</v>
      </c>
      <c r="C3" s="396"/>
      <c r="D3" s="396"/>
      <c r="E3" s="396"/>
      <c r="F3" s="396"/>
      <c r="G3" s="396"/>
      <c r="H3" s="396"/>
      <c r="I3" s="396"/>
    </row>
    <row r="4" spans="2:4" ht="18">
      <c r="B4" s="106"/>
      <c r="C4" s="103"/>
      <c r="D4" s="106"/>
    </row>
    <row r="5" spans="2:4" ht="18">
      <c r="B5" s="106"/>
      <c r="C5" s="103"/>
      <c r="D5" s="106"/>
    </row>
    <row r="6" spans="2:4" ht="18">
      <c r="B6" s="106"/>
      <c r="C6" s="124"/>
      <c r="D6" s="106"/>
    </row>
    <row r="7" spans="1:16" ht="12.75">
      <c r="A7" s="1" t="s">
        <v>103</v>
      </c>
      <c r="B7" s="125" t="s">
        <v>4</v>
      </c>
      <c r="C7" s="12" t="s">
        <v>4</v>
      </c>
      <c r="D7" s="125" t="s">
        <v>4</v>
      </c>
      <c r="E7" s="126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1" t="s">
        <v>4</v>
      </c>
      <c r="N7" s="1" t="s">
        <v>4</v>
      </c>
      <c r="O7" s="1" t="s">
        <v>4</v>
      </c>
      <c r="P7" s="1" t="s">
        <v>4</v>
      </c>
    </row>
    <row r="8" spans="1:16" ht="12.75">
      <c r="A8" s="9"/>
      <c r="B8" s="11" t="s">
        <v>139</v>
      </c>
      <c r="C8" s="11" t="s">
        <v>140</v>
      </c>
      <c r="D8" s="12" t="s">
        <v>141</v>
      </c>
      <c r="E8" s="11" t="s">
        <v>142</v>
      </c>
      <c r="F8" s="9" t="s">
        <v>143</v>
      </c>
      <c r="G8" s="9" t="s">
        <v>144</v>
      </c>
      <c r="H8" s="9" t="s">
        <v>145</v>
      </c>
      <c r="I8" s="9" t="s">
        <v>146</v>
      </c>
      <c r="J8" s="9" t="s">
        <v>147</v>
      </c>
      <c r="K8" s="9" t="s">
        <v>148</v>
      </c>
      <c r="L8" s="9" t="s">
        <v>149</v>
      </c>
      <c r="M8" s="9" t="s">
        <v>150</v>
      </c>
      <c r="N8" s="9" t="s">
        <v>151</v>
      </c>
      <c r="O8" s="9" t="s">
        <v>151</v>
      </c>
      <c r="P8" s="9" t="s">
        <v>151</v>
      </c>
    </row>
    <row r="9" spans="1:16" ht="12.75">
      <c r="A9" s="9" t="s">
        <v>103</v>
      </c>
      <c r="B9" s="127" t="s">
        <v>218</v>
      </c>
      <c r="C9" s="127" t="s">
        <v>218</v>
      </c>
      <c r="D9" s="127" t="s">
        <v>218</v>
      </c>
      <c r="E9" s="127" t="s">
        <v>218</v>
      </c>
      <c r="F9" s="127" t="s">
        <v>218</v>
      </c>
      <c r="G9" s="127" t="s">
        <v>218</v>
      </c>
      <c r="H9" s="127" t="s">
        <v>341</v>
      </c>
      <c r="I9" s="127" t="s">
        <v>341</v>
      </c>
      <c r="J9" s="127" t="s">
        <v>341</v>
      </c>
      <c r="K9" s="127" t="s">
        <v>341</v>
      </c>
      <c r="L9" s="127" t="s">
        <v>341</v>
      </c>
      <c r="M9" s="127" t="s">
        <v>341</v>
      </c>
      <c r="N9" s="71" t="s">
        <v>89</v>
      </c>
      <c r="O9" s="71" t="s">
        <v>185</v>
      </c>
      <c r="P9" s="71" t="s">
        <v>227</v>
      </c>
    </row>
    <row r="10" spans="1:16" ht="12.75">
      <c r="A10" s="2"/>
      <c r="B10" s="2" t="s">
        <v>103</v>
      </c>
      <c r="C10" s="2" t="s">
        <v>103</v>
      </c>
      <c r="D10" s="2" t="s">
        <v>103</v>
      </c>
      <c r="E10" s="2" t="s">
        <v>103</v>
      </c>
      <c r="F10" s="2" t="s">
        <v>103</v>
      </c>
      <c r="G10" s="2" t="s">
        <v>103</v>
      </c>
      <c r="H10" s="2" t="s">
        <v>152</v>
      </c>
      <c r="I10" s="2" t="s">
        <v>103</v>
      </c>
      <c r="J10" s="2" t="s">
        <v>103</v>
      </c>
      <c r="K10" s="2" t="s">
        <v>103</v>
      </c>
      <c r="L10" s="2" t="s">
        <v>103</v>
      </c>
      <c r="M10" s="2" t="s">
        <v>103</v>
      </c>
      <c r="N10" s="2" t="s">
        <v>186</v>
      </c>
      <c r="O10" s="2" t="s">
        <v>186</v>
      </c>
      <c r="P10" s="2" t="s">
        <v>186</v>
      </c>
    </row>
    <row r="11" spans="1:16" ht="12.75">
      <c r="A11" s="92" t="s">
        <v>343</v>
      </c>
      <c r="B11" s="79">
        <v>0</v>
      </c>
      <c r="C11" s="345">
        <f>B53</f>
        <v>31220239</v>
      </c>
      <c r="D11" s="345">
        <f aca="true" t="shared" si="0" ref="D11:M11">C53</f>
        <v>25938421</v>
      </c>
      <c r="E11" s="345">
        <f t="shared" si="0"/>
        <v>19721605</v>
      </c>
      <c r="F11" s="345">
        <f t="shared" si="0"/>
        <v>13502788</v>
      </c>
      <c r="G11" s="345">
        <f t="shared" si="0"/>
        <v>32315915</v>
      </c>
      <c r="H11" s="345">
        <f t="shared" si="0"/>
        <v>21194763</v>
      </c>
      <c r="I11" s="345">
        <f t="shared" si="0"/>
        <v>16873880</v>
      </c>
      <c r="J11" s="345">
        <f t="shared" si="0"/>
        <v>12057563</v>
      </c>
      <c r="K11" s="345">
        <f t="shared" si="0"/>
        <v>21825331</v>
      </c>
      <c r="L11" s="345">
        <f t="shared" si="0"/>
        <v>16330765</v>
      </c>
      <c r="M11" s="345">
        <f t="shared" si="0"/>
        <v>7266201</v>
      </c>
      <c r="N11" s="345">
        <v>0</v>
      </c>
      <c r="O11" s="394">
        <f>N53</f>
        <v>1643907</v>
      </c>
      <c r="P11" s="394">
        <f>O53</f>
        <v>24712407.175082564</v>
      </c>
    </row>
    <row r="12" spans="1:16" ht="12.75">
      <c r="A12" s="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2.75">
      <c r="A13" s="348" t="s">
        <v>153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21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</row>
    <row r="15" spans="1:18" ht="12">
      <c r="A15" s="15" t="s">
        <v>101</v>
      </c>
      <c r="B15" s="339">
        <v>109000</v>
      </c>
      <c r="C15" s="339">
        <v>109000</v>
      </c>
      <c r="D15" s="339">
        <v>109000</v>
      </c>
      <c r="E15" s="339">
        <v>109500</v>
      </c>
      <c r="F15" s="339">
        <v>109500</v>
      </c>
      <c r="G15" s="339">
        <v>112185</v>
      </c>
      <c r="H15" s="339">
        <v>112185</v>
      </c>
      <c r="I15" s="339">
        <v>109500</v>
      </c>
      <c r="J15" s="339">
        <v>109500</v>
      </c>
      <c r="K15" s="339">
        <v>109000</v>
      </c>
      <c r="L15" s="339">
        <v>109000</v>
      </c>
      <c r="M15" s="339">
        <v>109000</v>
      </c>
      <c r="N15" s="339">
        <f>SUM(B15:M15)</f>
        <v>1316370</v>
      </c>
      <c r="O15" s="339">
        <f>' Schedule 1 - Rev by Source'!G15</f>
        <v>1474334.4000000001</v>
      </c>
      <c r="P15" s="339">
        <f>' Schedule 1 - Rev by Source'!H15</f>
        <v>1651254.5280000004</v>
      </c>
      <c r="R15" s="176">
        <f>' Schedule 1 - Rev by Source'!F15</f>
        <v>1316370</v>
      </c>
    </row>
    <row r="16" spans="1:16" ht="12" hidden="1">
      <c r="A16" s="15" t="s">
        <v>47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</row>
    <row r="17" spans="1:16" ht="12" hidden="1">
      <c r="A17" s="15" t="s">
        <v>48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</row>
    <row r="18" spans="1:16" ht="12" hidden="1">
      <c r="A18" s="15" t="s">
        <v>49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</row>
    <row r="19" spans="1:18" ht="12">
      <c r="A19" s="15" t="s">
        <v>50</v>
      </c>
      <c r="B19" s="339">
        <v>1100000</v>
      </c>
      <c r="C19" s="339">
        <v>1000000</v>
      </c>
      <c r="D19" s="339">
        <v>900000</v>
      </c>
      <c r="E19" s="339">
        <v>800000</v>
      </c>
      <c r="F19" s="339">
        <v>1000000</v>
      </c>
      <c r="G19" s="339">
        <v>900000</v>
      </c>
      <c r="H19" s="339">
        <v>800000</v>
      </c>
      <c r="I19" s="339">
        <v>900000</v>
      </c>
      <c r="J19" s="339">
        <v>800000</v>
      </c>
      <c r="K19" s="339">
        <v>700000</v>
      </c>
      <c r="L19" s="339">
        <v>700000</v>
      </c>
      <c r="M19" s="339">
        <v>600000</v>
      </c>
      <c r="N19" s="339">
        <f>SUM(B19:M19)</f>
        <v>10200000</v>
      </c>
      <c r="O19" s="339">
        <f>' Schedule 1 - Rev by Source'!G17</f>
        <v>9720000</v>
      </c>
      <c r="P19" s="339">
        <f>' Schedule 1 - Rev by Source'!H17</f>
        <v>9240000</v>
      </c>
      <c r="R19">
        <f>' Schedule 1 - Rev by Source'!F17</f>
        <v>10200000</v>
      </c>
    </row>
    <row r="20" spans="1:16" ht="12" hidden="1">
      <c r="A20" s="15" t="s">
        <v>51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>
        <f>SUM(B20:M20)</f>
        <v>0</v>
      </c>
      <c r="O20" s="339"/>
      <c r="P20" s="339"/>
    </row>
    <row r="21" spans="1:18" ht="12">
      <c r="A21" s="15" t="s">
        <v>90</v>
      </c>
      <c r="B21" s="339">
        <v>6292</v>
      </c>
      <c r="C21" s="339">
        <v>6291</v>
      </c>
      <c r="D21" s="339">
        <v>6292</v>
      </c>
      <c r="E21" s="339">
        <v>6292</v>
      </c>
      <c r="F21" s="339">
        <v>6291</v>
      </c>
      <c r="G21" s="339">
        <v>6292</v>
      </c>
      <c r="H21" s="339">
        <v>6292</v>
      </c>
      <c r="I21" s="339">
        <v>6291</v>
      </c>
      <c r="J21" s="339">
        <v>6292</v>
      </c>
      <c r="K21" s="339">
        <v>6292</v>
      </c>
      <c r="L21" s="339">
        <v>6291</v>
      </c>
      <c r="M21" s="339">
        <v>6292</v>
      </c>
      <c r="N21" s="339">
        <f>SUM(B21:M21)</f>
        <v>75500</v>
      </c>
      <c r="O21" s="339">
        <f>' Schedule 1 - Rev by Source'!G22</f>
        <v>58050</v>
      </c>
      <c r="P21" s="339">
        <f>' Schedule 1 - Rev by Source'!H22</f>
        <v>50850</v>
      </c>
      <c r="R21">
        <f>' Schedule 1 - Rev by Source'!F22</f>
        <v>75500</v>
      </c>
    </row>
    <row r="22" spans="1:18" ht="12">
      <c r="A22" s="15" t="s">
        <v>154</v>
      </c>
      <c r="B22" s="390">
        <f>1862750+1000000+735000+32749305</f>
        <v>36347055</v>
      </c>
      <c r="C22" s="347">
        <v>0</v>
      </c>
      <c r="D22" s="347">
        <v>0</v>
      </c>
      <c r="E22" s="347">
        <f>1862750</f>
        <v>1862750</v>
      </c>
      <c r="F22" s="390">
        <v>26199444</v>
      </c>
      <c r="G22" s="347">
        <v>0</v>
      </c>
      <c r="H22" s="347">
        <f>1862750</f>
        <v>1862750</v>
      </c>
      <c r="I22" s="347">
        <v>0</v>
      </c>
      <c r="J22" s="390">
        <v>19649583</v>
      </c>
      <c r="K22" s="347">
        <f>1862750</f>
        <v>1862750</v>
      </c>
      <c r="L22" s="347">
        <v>0</v>
      </c>
      <c r="M22" s="347">
        <v>0</v>
      </c>
      <c r="N22" s="390">
        <f>SUM(B22:M22)</f>
        <v>87784332</v>
      </c>
      <c r="O22" s="339">
        <f>' Schedule 1 - Rev by Source'!G19</f>
        <v>94253510</v>
      </c>
      <c r="P22" s="339">
        <f>' Schedule 1 - Rev by Source'!H19</f>
        <v>98913186</v>
      </c>
      <c r="R22">
        <f>' Schedule 1 - Rev by Source'!F19</f>
        <v>87784332</v>
      </c>
    </row>
    <row r="23" spans="1:16" ht="12" hidden="1">
      <c r="A23" s="15" t="s">
        <v>155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</row>
    <row r="24" spans="1:16" ht="12">
      <c r="A24" s="15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</row>
    <row r="25" spans="1:16" ht="12">
      <c r="A25" s="129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</row>
    <row r="26" spans="1:16" ht="12.75">
      <c r="A26" s="349" t="s">
        <v>153</v>
      </c>
      <c r="B26" s="340">
        <f aca="true" t="shared" si="1" ref="B26:P26">SUM(B15:B24)</f>
        <v>37562347</v>
      </c>
      <c r="C26" s="340">
        <f t="shared" si="1"/>
        <v>1115291</v>
      </c>
      <c r="D26" s="340">
        <f t="shared" si="1"/>
        <v>1015292</v>
      </c>
      <c r="E26" s="340">
        <f t="shared" si="1"/>
        <v>2778542</v>
      </c>
      <c r="F26" s="340">
        <f t="shared" si="1"/>
        <v>27315235</v>
      </c>
      <c r="G26" s="340">
        <f t="shared" si="1"/>
        <v>1018477</v>
      </c>
      <c r="H26" s="340">
        <f t="shared" si="1"/>
        <v>2781227</v>
      </c>
      <c r="I26" s="340">
        <f t="shared" si="1"/>
        <v>1015791</v>
      </c>
      <c r="J26" s="340">
        <f t="shared" si="1"/>
        <v>20565375</v>
      </c>
      <c r="K26" s="340">
        <f t="shared" si="1"/>
        <v>2678042</v>
      </c>
      <c r="L26" s="340">
        <f t="shared" si="1"/>
        <v>815291</v>
      </c>
      <c r="M26" s="340">
        <f t="shared" si="1"/>
        <v>715292</v>
      </c>
      <c r="N26" s="340">
        <f t="shared" si="1"/>
        <v>99376202</v>
      </c>
      <c r="O26" s="340">
        <f t="shared" si="1"/>
        <v>105505894.4</v>
      </c>
      <c r="P26" s="340">
        <f t="shared" si="1"/>
        <v>109855290.528</v>
      </c>
    </row>
    <row r="27" spans="1:16" ht="12">
      <c r="A27" s="129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</row>
    <row r="28" spans="1:16" ht="12.75">
      <c r="A28" s="321" t="s">
        <v>156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</row>
    <row r="29" spans="1:16" ht="12">
      <c r="A29" s="129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</row>
    <row r="30" spans="1:16" ht="12">
      <c r="A30" s="15" t="s">
        <v>342</v>
      </c>
      <c r="B30" s="344">
        <v>0</v>
      </c>
      <c r="C30" s="344">
        <v>0</v>
      </c>
      <c r="D30" s="344">
        <v>0</v>
      </c>
      <c r="E30" s="344">
        <v>0</v>
      </c>
      <c r="F30" s="344">
        <v>0</v>
      </c>
      <c r="G30" s="344">
        <v>0</v>
      </c>
      <c r="H30" s="344">
        <v>0</v>
      </c>
      <c r="I30" s="344">
        <v>0</v>
      </c>
      <c r="J30" s="344">
        <v>0</v>
      </c>
      <c r="K30" s="344">
        <v>0</v>
      </c>
      <c r="L30" s="344">
        <v>0</v>
      </c>
      <c r="M30" s="344">
        <v>0</v>
      </c>
      <c r="N30" s="339">
        <f>SUM(B30:M30)</f>
        <v>0</v>
      </c>
      <c r="O30" s="344">
        <v>0</v>
      </c>
      <c r="P30" s="344">
        <v>0</v>
      </c>
    </row>
    <row r="31" spans="1:16" ht="12">
      <c r="A31" s="129" t="s">
        <v>157</v>
      </c>
      <c r="B31" s="339">
        <v>0</v>
      </c>
      <c r="C31" s="339">
        <v>0</v>
      </c>
      <c r="D31" s="339">
        <v>0</v>
      </c>
      <c r="E31" s="339">
        <v>0</v>
      </c>
      <c r="F31" s="339">
        <v>0</v>
      </c>
      <c r="G31" s="339">
        <v>0</v>
      </c>
      <c r="H31" s="339">
        <v>0</v>
      </c>
      <c r="I31" s="339">
        <v>0</v>
      </c>
      <c r="J31" s="339">
        <v>0</v>
      </c>
      <c r="K31" s="339">
        <v>0</v>
      </c>
      <c r="L31" s="339">
        <v>0</v>
      </c>
      <c r="M31" s="339">
        <v>0</v>
      </c>
      <c r="N31" s="339">
        <f>SUM(B31:M31)</f>
        <v>0</v>
      </c>
      <c r="O31" s="339">
        <v>0</v>
      </c>
      <c r="P31" s="339">
        <v>0</v>
      </c>
    </row>
    <row r="32" spans="1:16" ht="12">
      <c r="A32" s="129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</row>
    <row r="33" spans="1:16" ht="12.75">
      <c r="A33" s="350" t="s">
        <v>158</v>
      </c>
      <c r="B33" s="340">
        <f>SUM(B26:B32)</f>
        <v>37562347</v>
      </c>
      <c r="C33" s="340">
        <f aca="true" t="shared" si="2" ref="C33:P33">SUM(C26:C32)</f>
        <v>1115291</v>
      </c>
      <c r="D33" s="340">
        <f t="shared" si="2"/>
        <v>1015292</v>
      </c>
      <c r="E33" s="340">
        <f t="shared" si="2"/>
        <v>2778542</v>
      </c>
      <c r="F33" s="340">
        <f t="shared" si="2"/>
        <v>27315235</v>
      </c>
      <c r="G33" s="340">
        <f t="shared" si="2"/>
        <v>1018477</v>
      </c>
      <c r="H33" s="340">
        <f t="shared" si="2"/>
        <v>2781227</v>
      </c>
      <c r="I33" s="340">
        <f t="shared" si="2"/>
        <v>1015791</v>
      </c>
      <c r="J33" s="340">
        <f t="shared" si="2"/>
        <v>20565375</v>
      </c>
      <c r="K33" s="340">
        <f t="shared" si="2"/>
        <v>2678042</v>
      </c>
      <c r="L33" s="340">
        <f t="shared" si="2"/>
        <v>815291</v>
      </c>
      <c r="M33" s="340">
        <f t="shared" si="2"/>
        <v>715292</v>
      </c>
      <c r="N33" s="340">
        <f t="shared" si="2"/>
        <v>99376202</v>
      </c>
      <c r="O33" s="340">
        <f t="shared" si="2"/>
        <v>105505894.4</v>
      </c>
      <c r="P33" s="340">
        <f t="shared" si="2"/>
        <v>109855290.528</v>
      </c>
    </row>
    <row r="34" spans="1:16" ht="12">
      <c r="A34" s="129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</row>
    <row r="35" spans="1:16" ht="12.75">
      <c r="A35" s="321" t="s">
        <v>159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</row>
    <row r="36" spans="1:16" ht="12">
      <c r="A36" s="129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</row>
    <row r="37" spans="1:18" ht="12">
      <c r="A37" s="129" t="s">
        <v>104</v>
      </c>
      <c r="B37" s="339">
        <v>3401002</v>
      </c>
      <c r="C37" s="339">
        <v>3401002</v>
      </c>
      <c r="D37" s="339">
        <v>3401002</v>
      </c>
      <c r="E37" s="339">
        <v>3401002</v>
      </c>
      <c r="F37" s="339">
        <v>3401002</v>
      </c>
      <c r="G37" s="339">
        <v>3401002</v>
      </c>
      <c r="H37" s="339">
        <v>3401002</v>
      </c>
      <c r="I37" s="339">
        <v>3401002</v>
      </c>
      <c r="J37" s="339">
        <v>3401002</v>
      </c>
      <c r="K37" s="339">
        <v>3401002</v>
      </c>
      <c r="L37" s="339">
        <v>3401001</v>
      </c>
      <c r="M37" s="339">
        <v>3401001</v>
      </c>
      <c r="N37" s="347">
        <f aca="true" t="shared" si="3" ref="N37:N42">SUM(B37:M37)</f>
        <v>40812022</v>
      </c>
      <c r="O37" s="347">
        <v>44893224.736417435</v>
      </c>
      <c r="P37" s="347">
        <v>49382547.21005917</v>
      </c>
      <c r="R37" s="315">
        <f>'[1]TOTAL 0910'!$N$94</f>
        <v>389334.12</v>
      </c>
    </row>
    <row r="38" spans="1:20" ht="12">
      <c r="A38" s="129" t="s">
        <v>105</v>
      </c>
      <c r="B38" s="339">
        <v>356527</v>
      </c>
      <c r="C38" s="339">
        <v>356527</v>
      </c>
      <c r="D38" s="339">
        <v>356527</v>
      </c>
      <c r="E38" s="339">
        <v>356527</v>
      </c>
      <c r="F38" s="339">
        <v>356527</v>
      </c>
      <c r="G38" s="339">
        <v>356527</v>
      </c>
      <c r="H38" s="339">
        <v>356529</v>
      </c>
      <c r="I38" s="339">
        <v>356527</v>
      </c>
      <c r="J38" s="339">
        <v>356527</v>
      </c>
      <c r="K38" s="339">
        <v>356527</v>
      </c>
      <c r="L38" s="339">
        <v>356527</v>
      </c>
      <c r="M38" s="339">
        <v>356527</v>
      </c>
      <c r="N38" s="339">
        <f t="shared" si="3"/>
        <v>4278326</v>
      </c>
      <c r="O38" s="339">
        <v>4706159.1005</v>
      </c>
      <c r="P38" s="339">
        <v>5176775.01055</v>
      </c>
      <c r="R38" s="166">
        <f>'[1]TOTAL 0910'!$N$112</f>
        <v>6400</v>
      </c>
      <c r="T38">
        <v>3889387</v>
      </c>
    </row>
    <row r="39" spans="1:18" ht="12">
      <c r="A39" s="129" t="s">
        <v>106</v>
      </c>
      <c r="B39" s="339">
        <v>41021</v>
      </c>
      <c r="C39" s="339">
        <v>41022</v>
      </c>
      <c r="D39" s="339">
        <v>41021</v>
      </c>
      <c r="E39" s="339">
        <v>41022</v>
      </c>
      <c r="F39" s="339">
        <v>41021</v>
      </c>
      <c r="G39" s="339">
        <v>41022</v>
      </c>
      <c r="H39" s="339">
        <v>41021</v>
      </c>
      <c r="I39" s="339">
        <v>41022</v>
      </c>
      <c r="J39" s="339">
        <v>41521</v>
      </c>
      <c r="K39" s="339">
        <v>41522</v>
      </c>
      <c r="L39" s="339">
        <v>41521</v>
      </c>
      <c r="M39" s="339">
        <v>41522</v>
      </c>
      <c r="N39" s="339">
        <f t="shared" si="3"/>
        <v>494258</v>
      </c>
      <c r="O39" s="339">
        <v>543683.8</v>
      </c>
      <c r="P39" s="339">
        <v>598052.18</v>
      </c>
      <c r="Q39" s="176"/>
      <c r="R39" s="166">
        <v>494258</v>
      </c>
    </row>
    <row r="40" spans="1:18" ht="12">
      <c r="A40" s="129" t="s">
        <v>160</v>
      </c>
      <c r="B40" s="339">
        <v>785276</v>
      </c>
      <c r="C40" s="339">
        <v>785276</v>
      </c>
      <c r="D40" s="339">
        <v>785276</v>
      </c>
      <c r="E40" s="339">
        <v>785276</v>
      </c>
      <c r="F40" s="339">
        <v>785276</v>
      </c>
      <c r="G40" s="339">
        <v>785276</v>
      </c>
      <c r="H40" s="339">
        <v>785276</v>
      </c>
      <c r="I40" s="339">
        <v>785276</v>
      </c>
      <c r="J40" s="339">
        <v>785276</v>
      </c>
      <c r="K40" s="339">
        <v>785276</v>
      </c>
      <c r="L40" s="339">
        <v>785275</v>
      </c>
      <c r="M40" s="339">
        <v>785275</v>
      </c>
      <c r="N40" s="347">
        <f t="shared" si="3"/>
        <v>9423310</v>
      </c>
      <c r="O40" s="347">
        <v>10095509.996</v>
      </c>
      <c r="P40" s="347">
        <v>11195025.2956</v>
      </c>
      <c r="Q40" s="176"/>
      <c r="R40" s="177">
        <v>9423310.360000001</v>
      </c>
    </row>
    <row r="41" spans="1:18" ht="12">
      <c r="A41" s="129" t="s">
        <v>107</v>
      </c>
      <c r="B41" s="339">
        <v>1118282</v>
      </c>
      <c r="C41" s="339">
        <v>1118282</v>
      </c>
      <c r="D41" s="339">
        <v>1118282</v>
      </c>
      <c r="E41" s="339">
        <v>1118282</v>
      </c>
      <c r="F41" s="339">
        <v>1118282</v>
      </c>
      <c r="G41" s="339">
        <v>1118282</v>
      </c>
      <c r="H41" s="339">
        <v>1118282</v>
      </c>
      <c r="I41" s="339">
        <v>1118281</v>
      </c>
      <c r="J41" s="339">
        <v>1118281</v>
      </c>
      <c r="K41" s="339">
        <v>1118281</v>
      </c>
      <c r="L41" s="339">
        <v>1118281</v>
      </c>
      <c r="M41" s="339">
        <v>1118281</v>
      </c>
      <c r="N41" s="347">
        <f t="shared" si="3"/>
        <v>13419379</v>
      </c>
      <c r="O41" s="347">
        <v>14678816.592</v>
      </c>
      <c r="P41" s="347">
        <v>16146698.251200002</v>
      </c>
      <c r="Q41" s="176"/>
      <c r="R41" s="317">
        <v>13369378.719999999</v>
      </c>
    </row>
    <row r="42" spans="1:18" ht="12">
      <c r="A42" s="129" t="s">
        <v>161</v>
      </c>
      <c r="B42" s="392">
        <v>640000</v>
      </c>
      <c r="C42" s="392">
        <f>1335000-640000</f>
        <v>695000</v>
      </c>
      <c r="D42" s="392">
        <f>2865000-1335000</f>
        <v>1530000</v>
      </c>
      <c r="E42" s="392">
        <f>6160250-2865000</f>
        <v>3295250</v>
      </c>
      <c r="F42" s="392">
        <f>8960250-6160250</f>
        <v>2800000</v>
      </c>
      <c r="G42" s="392">
        <f>15397770-8960250</f>
        <v>6437520</v>
      </c>
      <c r="H42" s="392">
        <f>16797770-15397770</f>
        <v>1400000</v>
      </c>
      <c r="I42" s="392">
        <f>16927770-16797770</f>
        <v>130000</v>
      </c>
      <c r="J42" s="392">
        <f>22022770-16927770</f>
        <v>5095000</v>
      </c>
      <c r="K42" s="392">
        <f>24492770-22022770</f>
        <v>2470000</v>
      </c>
      <c r="L42" s="392">
        <f>28670020-24492770</f>
        <v>4177250</v>
      </c>
      <c r="M42" s="392">
        <f>29305000-28670020</f>
        <v>634980</v>
      </c>
      <c r="N42" s="392">
        <f t="shared" si="3"/>
        <v>29305000</v>
      </c>
      <c r="O42" s="392">
        <v>7520000</v>
      </c>
      <c r="P42" s="392">
        <v>5530000</v>
      </c>
      <c r="R42" s="317"/>
    </row>
    <row r="43" spans="1:16" ht="12">
      <c r="A43" s="129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</row>
    <row r="44" spans="1:16" ht="12.75">
      <c r="A44" s="13" t="s">
        <v>159</v>
      </c>
      <c r="B44" s="340">
        <f>SUM(B37:B43)</f>
        <v>6342108</v>
      </c>
      <c r="C44" s="340">
        <f aca="true" t="shared" si="4" ref="C44:P44">SUM(C37:C43)</f>
        <v>6397109</v>
      </c>
      <c r="D44" s="340">
        <f t="shared" si="4"/>
        <v>7232108</v>
      </c>
      <c r="E44" s="340">
        <f t="shared" si="4"/>
        <v>8997359</v>
      </c>
      <c r="F44" s="340">
        <f t="shared" si="4"/>
        <v>8502108</v>
      </c>
      <c r="G44" s="340">
        <f t="shared" si="4"/>
        <v>12139629</v>
      </c>
      <c r="H44" s="340">
        <f t="shared" si="4"/>
        <v>7102110</v>
      </c>
      <c r="I44" s="340">
        <f t="shared" si="4"/>
        <v>5832108</v>
      </c>
      <c r="J44" s="340">
        <f t="shared" si="4"/>
        <v>10797607</v>
      </c>
      <c r="K44" s="340">
        <f t="shared" si="4"/>
        <v>8172608</v>
      </c>
      <c r="L44" s="340">
        <f t="shared" si="4"/>
        <v>9879855</v>
      </c>
      <c r="M44" s="340">
        <f t="shared" si="4"/>
        <v>6337586</v>
      </c>
      <c r="N44" s="340">
        <f t="shared" si="4"/>
        <v>97732295</v>
      </c>
      <c r="O44" s="340">
        <f t="shared" si="4"/>
        <v>82437394.22491744</v>
      </c>
      <c r="P44" s="340">
        <f t="shared" si="4"/>
        <v>88029097.94740918</v>
      </c>
    </row>
    <row r="45" spans="1:17" ht="12">
      <c r="A45" s="5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91">
        <f>N42-29305000</f>
        <v>0</v>
      </c>
    </row>
    <row r="46" spans="1:16" ht="12.75">
      <c r="A46" s="3" t="s">
        <v>162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</row>
    <row r="47" spans="1:16" ht="12">
      <c r="A47" s="5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</row>
    <row r="48" spans="1:16" ht="12">
      <c r="A48" s="5" t="s">
        <v>163</v>
      </c>
      <c r="B48" s="339">
        <v>0</v>
      </c>
      <c r="C48" s="339">
        <v>0</v>
      </c>
      <c r="D48" s="339">
        <v>0</v>
      </c>
      <c r="E48" s="339">
        <v>0</v>
      </c>
      <c r="F48" s="339">
        <v>0</v>
      </c>
      <c r="G48" s="339">
        <v>0</v>
      </c>
      <c r="H48" s="339">
        <v>0</v>
      </c>
      <c r="I48" s="339">
        <v>0</v>
      </c>
      <c r="J48" s="339">
        <v>0</v>
      </c>
      <c r="K48" s="339">
        <v>0</v>
      </c>
      <c r="L48" s="339">
        <v>0</v>
      </c>
      <c r="M48" s="339">
        <v>0</v>
      </c>
      <c r="N48" s="339">
        <v>0</v>
      </c>
      <c r="O48" s="339">
        <v>0</v>
      </c>
      <c r="P48" s="339">
        <v>0</v>
      </c>
    </row>
    <row r="49" spans="1:16" ht="12">
      <c r="A49" s="5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</row>
    <row r="50" spans="1:16" ht="12.75">
      <c r="A50" s="13" t="s">
        <v>164</v>
      </c>
      <c r="B50" s="340">
        <f>SUM(B44:B49)</f>
        <v>6342108</v>
      </c>
      <c r="C50" s="340">
        <f aca="true" t="shared" si="5" ref="C50:P50">SUM(C44:C49)</f>
        <v>6397109</v>
      </c>
      <c r="D50" s="340">
        <f t="shared" si="5"/>
        <v>7232108</v>
      </c>
      <c r="E50" s="340">
        <f t="shared" si="5"/>
        <v>8997359</v>
      </c>
      <c r="F50" s="340">
        <f t="shared" si="5"/>
        <v>8502108</v>
      </c>
      <c r="G50" s="340">
        <f t="shared" si="5"/>
        <v>12139629</v>
      </c>
      <c r="H50" s="340">
        <f t="shared" si="5"/>
        <v>7102110</v>
      </c>
      <c r="I50" s="340">
        <f t="shared" si="5"/>
        <v>5832108</v>
      </c>
      <c r="J50" s="340">
        <f t="shared" si="5"/>
        <v>10797607</v>
      </c>
      <c r="K50" s="340">
        <f t="shared" si="5"/>
        <v>8172608</v>
      </c>
      <c r="L50" s="340">
        <f t="shared" si="5"/>
        <v>9879855</v>
      </c>
      <c r="M50" s="340">
        <f t="shared" si="5"/>
        <v>6337586</v>
      </c>
      <c r="N50" s="340">
        <f t="shared" si="5"/>
        <v>97732295</v>
      </c>
      <c r="O50" s="340">
        <f t="shared" si="5"/>
        <v>82437394.22491744</v>
      </c>
      <c r="P50" s="340">
        <f t="shared" si="5"/>
        <v>88029097.94740918</v>
      </c>
    </row>
    <row r="51" spans="1:16" ht="12">
      <c r="A51" s="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</row>
    <row r="52" spans="1:16" ht="12">
      <c r="A52" s="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</row>
    <row r="53" spans="1:16" ht="25.5">
      <c r="A53" s="368" t="s">
        <v>165</v>
      </c>
      <c r="B53" s="340">
        <f aca="true" t="shared" si="6" ref="B53:L53">B11+B33-B50</f>
        <v>31220239</v>
      </c>
      <c r="C53" s="340">
        <f t="shared" si="6"/>
        <v>25938421</v>
      </c>
      <c r="D53" s="340">
        <f t="shared" si="6"/>
        <v>19721605</v>
      </c>
      <c r="E53" s="340">
        <f t="shared" si="6"/>
        <v>13502788</v>
      </c>
      <c r="F53" s="340">
        <f t="shared" si="6"/>
        <v>32315915</v>
      </c>
      <c r="G53" s="340">
        <f t="shared" si="6"/>
        <v>21194763</v>
      </c>
      <c r="H53" s="340">
        <f t="shared" si="6"/>
        <v>16873880</v>
      </c>
      <c r="I53" s="340">
        <f t="shared" si="6"/>
        <v>12057563</v>
      </c>
      <c r="J53" s="340">
        <f t="shared" si="6"/>
        <v>21825331</v>
      </c>
      <c r="K53" s="340">
        <f t="shared" si="6"/>
        <v>16330765</v>
      </c>
      <c r="L53" s="340">
        <f t="shared" si="6"/>
        <v>7266201</v>
      </c>
      <c r="M53" s="340">
        <f>M11+M33-M50</f>
        <v>1643907</v>
      </c>
      <c r="N53" s="340">
        <f>N11+N33-N50</f>
        <v>1643907</v>
      </c>
      <c r="O53" s="340">
        <f>+O33-O50+O11</f>
        <v>24712407.175082564</v>
      </c>
      <c r="P53" s="340">
        <f>+P33-P50+P11</f>
        <v>46538599.75567338</v>
      </c>
    </row>
    <row r="55" ht="12">
      <c r="A55" s="73"/>
    </row>
  </sheetData>
  <sheetProtection/>
  <mergeCells count="2">
    <mergeCell ref="B1:I1"/>
    <mergeCell ref="B3:I3"/>
  </mergeCells>
  <printOptions/>
  <pageMargins left="0.2755905511811024" right="0.15748031496062992" top="0.7480314960629921" bottom="0.6692913385826772" header="0.5118110236220472" footer="0.5118110236220472"/>
  <pageSetup fitToHeight="1" fitToWidth="1" horizontalDpi="300" verticalDpi="300" orientation="landscape" paperSize="9" scale="69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3.140625" style="0" customWidth="1"/>
    <col min="2" max="2" width="25.7109375" style="0" customWidth="1"/>
    <col min="3" max="4" width="11.28125" style="0" customWidth="1"/>
    <col min="5" max="5" width="12.00390625" style="0" customWidth="1"/>
    <col min="6" max="6" width="11.421875" style="0" customWidth="1"/>
  </cols>
  <sheetData>
    <row r="1" ht="19.5">
      <c r="A1" s="86" t="s">
        <v>166</v>
      </c>
    </row>
    <row r="2" ht="19.5">
      <c r="A2" s="86"/>
    </row>
    <row r="3" ht="19.5">
      <c r="A3" s="86" t="s">
        <v>395</v>
      </c>
    </row>
    <row r="4" ht="12.75" thickBot="1"/>
    <row r="5" spans="1:6" ht="12.75" thickBot="1">
      <c r="A5" s="352" t="s">
        <v>344</v>
      </c>
      <c r="B5" s="353" t="s">
        <v>345</v>
      </c>
      <c r="C5" s="353" t="s">
        <v>167</v>
      </c>
      <c r="D5" s="353" t="s">
        <v>346</v>
      </c>
      <c r="E5" s="353" t="s">
        <v>347</v>
      </c>
      <c r="F5" s="353" t="s">
        <v>172</v>
      </c>
    </row>
    <row r="6" spans="1:6" ht="12">
      <c r="A6" s="354"/>
      <c r="B6" s="354"/>
      <c r="C6" s="354"/>
      <c r="D6" s="354"/>
      <c r="E6" s="354"/>
      <c r="F6" s="354"/>
    </row>
    <row r="7" spans="1:6" ht="12">
      <c r="A7" s="355" t="s">
        <v>348</v>
      </c>
      <c r="B7" s="356" t="s">
        <v>349</v>
      </c>
      <c r="C7" s="357">
        <v>176.45</v>
      </c>
      <c r="D7" s="357">
        <v>5</v>
      </c>
      <c r="E7" s="357">
        <v>25.4</v>
      </c>
      <c r="F7" s="357">
        <v>206.85</v>
      </c>
    </row>
    <row r="8" spans="1:6" ht="12">
      <c r="A8" s="355" t="s">
        <v>350</v>
      </c>
      <c r="B8" s="356" t="s">
        <v>351</v>
      </c>
      <c r="C8" s="357">
        <v>222.45</v>
      </c>
      <c r="D8" s="357">
        <v>5</v>
      </c>
      <c r="E8" s="357">
        <v>31.84</v>
      </c>
      <c r="F8" s="357">
        <v>259.29</v>
      </c>
    </row>
    <row r="9" spans="1:6" ht="12">
      <c r="A9" s="355" t="s">
        <v>352</v>
      </c>
      <c r="B9" s="356" t="s">
        <v>353</v>
      </c>
      <c r="C9" s="357">
        <v>134.2</v>
      </c>
      <c r="D9" s="357">
        <v>5</v>
      </c>
      <c r="E9" s="357">
        <v>19.49</v>
      </c>
      <c r="F9" s="357">
        <v>158.69</v>
      </c>
    </row>
    <row r="10" spans="1:6" ht="12">
      <c r="A10" s="355" t="s">
        <v>354</v>
      </c>
      <c r="B10" s="356" t="s">
        <v>355</v>
      </c>
      <c r="C10" s="357">
        <v>147.9</v>
      </c>
      <c r="D10" s="357">
        <v>6</v>
      </c>
      <c r="E10" s="357">
        <v>21.55</v>
      </c>
      <c r="F10" s="357">
        <v>174.45</v>
      </c>
    </row>
    <row r="11" spans="1:6" ht="12">
      <c r="A11" s="355" t="s">
        <v>356</v>
      </c>
      <c r="B11" s="356" t="s">
        <v>357</v>
      </c>
      <c r="C11" s="357">
        <v>80</v>
      </c>
      <c r="D11" s="357">
        <v>6</v>
      </c>
      <c r="E11" s="357">
        <f>SUM(C11+D11)*0.14</f>
        <v>12.040000000000001</v>
      </c>
      <c r="F11" s="357">
        <f>SUM(C11:E11)</f>
        <v>98.04</v>
      </c>
    </row>
    <row r="12" spans="1:6" ht="12">
      <c r="A12" s="355" t="s">
        <v>358</v>
      </c>
      <c r="B12" s="356" t="s">
        <v>359</v>
      </c>
      <c r="C12" s="357">
        <v>40</v>
      </c>
      <c r="D12" s="357">
        <v>6</v>
      </c>
      <c r="E12" s="357">
        <f>SUM(C12+D12)*0.14</f>
        <v>6.44</v>
      </c>
      <c r="F12" s="357">
        <f>SUM(C12:E12)</f>
        <v>52.44</v>
      </c>
    </row>
    <row r="13" spans="1:6" ht="12">
      <c r="A13" s="358" t="s">
        <v>360</v>
      </c>
      <c r="B13" s="356" t="s">
        <v>361</v>
      </c>
      <c r="C13" s="357">
        <v>44.75</v>
      </c>
      <c r="D13" s="357">
        <v>0.75</v>
      </c>
      <c r="E13" s="357">
        <v>6.37</v>
      </c>
      <c r="F13" s="357">
        <v>51.87</v>
      </c>
    </row>
    <row r="14" spans="1:6" ht="12">
      <c r="A14" s="359"/>
      <c r="B14" s="356"/>
      <c r="C14" s="357"/>
      <c r="D14" s="357"/>
      <c r="E14" s="357"/>
      <c r="F14" s="357"/>
    </row>
    <row r="15" spans="1:6" ht="12">
      <c r="A15" s="360" t="s">
        <v>362</v>
      </c>
      <c r="B15" s="356"/>
      <c r="C15" s="357"/>
      <c r="D15" s="357"/>
      <c r="E15" s="357"/>
      <c r="F15" s="357"/>
    </row>
    <row r="16" spans="1:6" ht="12">
      <c r="A16" s="356"/>
      <c r="B16" s="356"/>
      <c r="C16" s="357"/>
      <c r="D16" s="357"/>
      <c r="E16" s="357"/>
      <c r="F16" s="357"/>
    </row>
    <row r="17" spans="1:6" ht="12">
      <c r="A17" s="355">
        <v>21</v>
      </c>
      <c r="B17" s="356" t="s">
        <v>363</v>
      </c>
      <c r="C17" s="357">
        <v>141.7</v>
      </c>
      <c r="D17" s="357"/>
      <c r="E17" s="357">
        <v>19.84</v>
      </c>
      <c r="F17" s="357">
        <v>161.54</v>
      </c>
    </row>
    <row r="18" spans="1:6" ht="12">
      <c r="A18" s="355">
        <v>22</v>
      </c>
      <c r="B18" s="356" t="s">
        <v>364</v>
      </c>
      <c r="C18" s="357">
        <v>89.45</v>
      </c>
      <c r="D18" s="357"/>
      <c r="E18" s="357">
        <v>12.52</v>
      </c>
      <c r="F18" s="357">
        <v>101.97</v>
      </c>
    </row>
    <row r="19" spans="1:6" ht="12">
      <c r="A19" s="356"/>
      <c r="B19" s="356"/>
      <c r="C19" s="357"/>
      <c r="D19" s="357"/>
      <c r="E19" s="357"/>
      <c r="F19" s="357"/>
    </row>
    <row r="20" spans="1:6" ht="12">
      <c r="A20" s="360" t="s">
        <v>365</v>
      </c>
      <c r="B20" s="356"/>
      <c r="C20" s="357"/>
      <c r="D20" s="357"/>
      <c r="E20" s="357"/>
      <c r="F20" s="357"/>
    </row>
    <row r="21" spans="1:6" ht="12">
      <c r="A21" s="360"/>
      <c r="B21" s="356"/>
      <c r="C21" s="357"/>
      <c r="D21" s="357"/>
      <c r="E21" s="357"/>
      <c r="F21" s="357"/>
    </row>
    <row r="22" spans="1:6" ht="12">
      <c r="A22" s="356" t="s">
        <v>366</v>
      </c>
      <c r="B22" s="356"/>
      <c r="C22" s="357"/>
      <c r="D22" s="357"/>
      <c r="E22" s="357"/>
      <c r="F22" s="357"/>
    </row>
    <row r="23" spans="1:6" ht="12">
      <c r="A23" s="356"/>
      <c r="B23" s="356"/>
      <c r="C23" s="357"/>
      <c r="D23" s="357"/>
      <c r="E23" s="357"/>
      <c r="F23" s="357"/>
    </row>
    <row r="24" spans="1:6" ht="12">
      <c r="A24" s="355">
        <v>31</v>
      </c>
      <c r="B24" s="356" t="s">
        <v>363</v>
      </c>
      <c r="C24" s="357">
        <v>26.1</v>
      </c>
      <c r="D24" s="357"/>
      <c r="E24" s="357">
        <v>3.65</v>
      </c>
      <c r="F24" s="357">
        <v>29.75</v>
      </c>
    </row>
    <row r="25" spans="1:6" ht="12">
      <c r="A25" s="355">
        <v>31</v>
      </c>
      <c r="B25" s="356" t="s">
        <v>367</v>
      </c>
      <c r="C25" s="357">
        <v>13.05</v>
      </c>
      <c r="D25" s="357"/>
      <c r="E25" s="357">
        <v>1.83</v>
      </c>
      <c r="F25" s="357">
        <v>14.88</v>
      </c>
    </row>
    <row r="26" spans="1:6" ht="12">
      <c r="A26" s="355">
        <v>32</v>
      </c>
      <c r="B26" s="356" t="s">
        <v>368</v>
      </c>
      <c r="C26" s="357">
        <v>9.3</v>
      </c>
      <c r="D26" s="357"/>
      <c r="E26" s="357">
        <v>1.3</v>
      </c>
      <c r="F26" s="357">
        <v>10.6</v>
      </c>
    </row>
    <row r="27" spans="1:6" ht="12">
      <c r="A27" s="355">
        <v>33</v>
      </c>
      <c r="B27" s="356" t="s">
        <v>369</v>
      </c>
      <c r="C27" s="357">
        <v>9.3</v>
      </c>
      <c r="D27" s="357"/>
      <c r="E27" s="357">
        <v>1.3</v>
      </c>
      <c r="F27" s="357">
        <v>10.6</v>
      </c>
    </row>
    <row r="28" spans="1:6" ht="12">
      <c r="A28" s="355">
        <v>34</v>
      </c>
      <c r="B28" s="356" t="s">
        <v>370</v>
      </c>
      <c r="C28" s="357">
        <v>9.3</v>
      </c>
      <c r="D28" s="357"/>
      <c r="E28" s="357">
        <v>1.3</v>
      </c>
      <c r="F28" s="357">
        <v>10.6</v>
      </c>
    </row>
    <row r="29" spans="1:6" ht="12">
      <c r="A29" s="355">
        <v>35</v>
      </c>
      <c r="B29" s="356" t="s">
        <v>361</v>
      </c>
      <c r="C29" s="357">
        <v>6.85</v>
      </c>
      <c r="D29" s="357"/>
      <c r="E29" s="357">
        <v>0.96</v>
      </c>
      <c r="F29" s="357">
        <v>7.81</v>
      </c>
    </row>
    <row r="30" spans="1:6" ht="12">
      <c r="A30" s="355">
        <v>36</v>
      </c>
      <c r="B30" s="356" t="s">
        <v>371</v>
      </c>
      <c r="C30" s="357">
        <v>14.95</v>
      </c>
      <c r="D30" s="357"/>
      <c r="E30" s="357">
        <v>2.09</v>
      </c>
      <c r="F30" s="357">
        <v>17.04</v>
      </c>
    </row>
    <row r="31" spans="1:6" ht="12">
      <c r="A31" s="356"/>
      <c r="B31" s="356"/>
      <c r="C31" s="357"/>
      <c r="D31" s="357"/>
      <c r="E31" s="357"/>
      <c r="F31" s="357"/>
    </row>
    <row r="32" spans="1:6" ht="12">
      <c r="A32" s="361" t="s">
        <v>372</v>
      </c>
      <c r="B32" s="356"/>
      <c r="C32" s="357"/>
      <c r="D32" s="357"/>
      <c r="E32" s="357"/>
      <c r="F32" s="357"/>
    </row>
    <row r="33" spans="1:6" ht="12">
      <c r="A33" s="361"/>
      <c r="B33" s="356"/>
      <c r="C33" s="357"/>
      <c r="D33" s="357"/>
      <c r="E33" s="357"/>
      <c r="F33" s="357"/>
    </row>
    <row r="34" spans="1:6" ht="12">
      <c r="A34" s="355">
        <v>41</v>
      </c>
      <c r="B34" s="356" t="s">
        <v>373</v>
      </c>
      <c r="C34" s="357">
        <v>3.4</v>
      </c>
      <c r="D34" s="357"/>
      <c r="E34" s="357">
        <v>0.48</v>
      </c>
      <c r="F34" s="357">
        <v>3.88</v>
      </c>
    </row>
    <row r="35" spans="1:6" ht="12">
      <c r="A35" s="355">
        <v>42</v>
      </c>
      <c r="B35" s="356" t="s">
        <v>372</v>
      </c>
      <c r="C35" s="357">
        <v>37.25</v>
      </c>
      <c r="D35" s="357"/>
      <c r="E35" s="357">
        <v>5.22</v>
      </c>
      <c r="F35" s="357">
        <v>42.47</v>
      </c>
    </row>
    <row r="36" spans="1:6" ht="12">
      <c r="A36" s="355">
        <v>43</v>
      </c>
      <c r="B36" s="356" t="s">
        <v>374</v>
      </c>
      <c r="C36" s="357">
        <v>37.25</v>
      </c>
      <c r="D36" s="357"/>
      <c r="E36" s="357">
        <v>5.22</v>
      </c>
      <c r="F36" s="357">
        <v>42.47</v>
      </c>
    </row>
    <row r="37" spans="1:6" ht="12">
      <c r="A37" s="355"/>
      <c r="B37" s="356"/>
      <c r="C37" s="357"/>
      <c r="D37" s="357"/>
      <c r="E37" s="357"/>
      <c r="F37" s="357"/>
    </row>
    <row r="38" spans="1:6" ht="12">
      <c r="A38" s="360" t="s">
        <v>375</v>
      </c>
      <c r="B38" s="356"/>
      <c r="C38" s="357"/>
      <c r="D38" s="357"/>
      <c r="E38" s="357"/>
      <c r="F38" s="357"/>
    </row>
    <row r="39" spans="1:6" ht="12">
      <c r="A39" s="355"/>
      <c r="B39" s="356" t="s">
        <v>376</v>
      </c>
      <c r="C39" s="357">
        <v>65</v>
      </c>
      <c r="D39" s="357"/>
      <c r="E39" s="357"/>
      <c r="F39" s="357"/>
    </row>
    <row r="40" spans="1:6" ht="12">
      <c r="A40" s="355"/>
      <c r="B40" s="356" t="s">
        <v>349</v>
      </c>
      <c r="C40" s="357">
        <v>160</v>
      </c>
      <c r="D40" s="357"/>
      <c r="E40" s="357"/>
      <c r="F40" s="357"/>
    </row>
    <row r="41" spans="1:6" ht="12">
      <c r="A41" s="355"/>
      <c r="B41" s="356" t="s">
        <v>377</v>
      </c>
      <c r="C41" s="357">
        <v>50</v>
      </c>
      <c r="D41" s="357"/>
      <c r="E41" s="357"/>
      <c r="F41" s="357"/>
    </row>
    <row r="42" spans="1:6" ht="12">
      <c r="A42" s="355"/>
      <c r="B42" s="356" t="s">
        <v>378</v>
      </c>
      <c r="C42" s="357">
        <v>50</v>
      </c>
      <c r="D42" s="357"/>
      <c r="E42" s="357"/>
      <c r="F42" s="357"/>
    </row>
    <row r="43" spans="1:6" ht="12">
      <c r="A43" s="355"/>
      <c r="B43" s="356" t="s">
        <v>379</v>
      </c>
      <c r="C43" s="357">
        <v>50</v>
      </c>
      <c r="D43" s="357"/>
      <c r="E43" s="357"/>
      <c r="F43" s="357"/>
    </row>
    <row r="44" spans="1:6" ht="12">
      <c r="A44" s="355"/>
      <c r="B44" s="356" t="s">
        <v>380</v>
      </c>
      <c r="C44" s="357">
        <v>1</v>
      </c>
      <c r="D44" s="357"/>
      <c r="E44" s="357"/>
      <c r="F44" s="357"/>
    </row>
    <row r="45" spans="1:6" ht="12">
      <c r="A45" s="355"/>
      <c r="B45" s="356"/>
      <c r="C45" s="357"/>
      <c r="D45" s="357"/>
      <c r="E45" s="357"/>
      <c r="F45" s="357"/>
    </row>
    <row r="46" spans="1:6" ht="12">
      <c r="A46" s="360" t="s">
        <v>381</v>
      </c>
      <c r="B46" s="361"/>
      <c r="C46" s="357"/>
      <c r="D46" s="357"/>
      <c r="E46" s="357"/>
      <c r="F46" s="357"/>
    </row>
    <row r="47" spans="1:6" ht="12">
      <c r="A47" s="355">
        <v>44</v>
      </c>
      <c r="B47" s="356" t="s">
        <v>382</v>
      </c>
      <c r="C47" s="357">
        <v>233.8</v>
      </c>
      <c r="D47" s="357"/>
      <c r="E47" s="357">
        <v>32.73</v>
      </c>
      <c r="F47" s="357">
        <v>266.53</v>
      </c>
    </row>
    <row r="48" spans="1:6" ht="12">
      <c r="A48" s="356"/>
      <c r="B48" s="356"/>
      <c r="C48" s="357"/>
      <c r="D48" s="357"/>
      <c r="E48" s="357"/>
      <c r="F48" s="357"/>
    </row>
    <row r="49" spans="1:6" ht="12">
      <c r="A49" s="362"/>
      <c r="B49" s="362"/>
      <c r="C49" s="363"/>
      <c r="D49" s="363"/>
      <c r="E49" s="363"/>
      <c r="F49" s="363"/>
    </row>
    <row r="50" spans="1:6" ht="12">
      <c r="A50" s="364" t="s">
        <v>383</v>
      </c>
      <c r="B50" s="365"/>
      <c r="C50" s="363"/>
      <c r="D50" s="363"/>
      <c r="E50" s="363"/>
      <c r="F50" s="363"/>
    </row>
    <row r="51" spans="1:6" ht="12">
      <c r="A51" s="362"/>
      <c r="B51" s="361" t="s">
        <v>349</v>
      </c>
      <c r="C51" s="366"/>
      <c r="D51" s="366"/>
      <c r="E51" s="366"/>
      <c r="F51" s="366"/>
    </row>
    <row r="52" spans="1:6" ht="12">
      <c r="A52" s="362"/>
      <c r="B52" s="356" t="s">
        <v>384</v>
      </c>
      <c r="C52" s="357">
        <v>176.45</v>
      </c>
      <c r="D52" s="357">
        <v>5</v>
      </c>
      <c r="E52" s="357">
        <v>25.4</v>
      </c>
      <c r="F52" s="357">
        <v>206.85</v>
      </c>
    </row>
    <row r="53" spans="1:6" ht="12">
      <c r="A53" s="362"/>
      <c r="B53" s="356" t="s">
        <v>385</v>
      </c>
      <c r="C53" s="357">
        <v>170.2</v>
      </c>
      <c r="D53" s="357">
        <v>5</v>
      </c>
      <c r="E53" s="357">
        <v>24.53</v>
      </c>
      <c r="F53" s="357">
        <v>199.73</v>
      </c>
    </row>
    <row r="54" spans="1:6" ht="12">
      <c r="A54" s="362"/>
      <c r="B54" s="356" t="s">
        <v>386</v>
      </c>
      <c r="C54" s="357">
        <v>164.05</v>
      </c>
      <c r="D54" s="357">
        <v>5</v>
      </c>
      <c r="E54" s="357">
        <v>23.81</v>
      </c>
      <c r="F54" s="357">
        <v>193.86</v>
      </c>
    </row>
    <row r="55" spans="1:6" ht="12">
      <c r="A55" s="362"/>
      <c r="B55" s="356" t="s">
        <v>387</v>
      </c>
      <c r="C55" s="357">
        <v>156.55</v>
      </c>
      <c r="D55" s="357">
        <v>5</v>
      </c>
      <c r="E55" s="357">
        <v>22.62</v>
      </c>
      <c r="F55" s="357">
        <v>184.17</v>
      </c>
    </row>
    <row r="56" spans="1:6" ht="12">
      <c r="A56" s="362"/>
      <c r="B56" s="356" t="s">
        <v>388</v>
      </c>
      <c r="C56" s="357">
        <v>131.75</v>
      </c>
      <c r="D56" s="357">
        <v>5</v>
      </c>
      <c r="E56" s="357">
        <v>19.15</v>
      </c>
      <c r="F56" s="357">
        <v>155.9</v>
      </c>
    </row>
    <row r="57" spans="1:6" ht="12">
      <c r="A57" s="362"/>
      <c r="B57" s="356"/>
      <c r="C57" s="357"/>
      <c r="D57" s="357"/>
      <c r="E57" s="357"/>
      <c r="F57" s="357"/>
    </row>
    <row r="58" spans="1:6" ht="12">
      <c r="A58" s="362"/>
      <c r="B58" s="361" t="s">
        <v>389</v>
      </c>
      <c r="C58" s="357"/>
      <c r="D58" s="357"/>
      <c r="E58" s="357"/>
      <c r="F58" s="357"/>
    </row>
    <row r="59" spans="1:6" ht="12">
      <c r="A59" s="362"/>
      <c r="B59" s="356" t="s">
        <v>390</v>
      </c>
      <c r="C59" s="357">
        <v>80</v>
      </c>
      <c r="D59" s="357">
        <v>5.2</v>
      </c>
      <c r="E59" s="357">
        <f>SUM(C59+D59)*0.14</f>
        <v>11.928</v>
      </c>
      <c r="F59" s="357">
        <f>SUM(C59:E59)</f>
        <v>97.128</v>
      </c>
    </row>
    <row r="60" spans="1:6" ht="12">
      <c r="A60" s="362"/>
      <c r="B60" s="356" t="s">
        <v>391</v>
      </c>
      <c r="C60" s="357">
        <v>70</v>
      </c>
      <c r="D60" s="357">
        <v>5.2</v>
      </c>
      <c r="E60" s="357">
        <f>SUM(C60+D60)*0.14</f>
        <v>10.528000000000002</v>
      </c>
      <c r="F60" s="357">
        <f>SUM(C60:E60)</f>
        <v>85.72800000000001</v>
      </c>
    </row>
    <row r="61" spans="1:6" ht="12">
      <c r="A61" s="362"/>
      <c r="B61" s="356" t="s">
        <v>392</v>
      </c>
      <c r="C61" s="357">
        <v>60</v>
      </c>
      <c r="D61" s="357">
        <v>5.2</v>
      </c>
      <c r="E61" s="357">
        <f>SUM(C61+D61)*0.14</f>
        <v>9.128000000000002</v>
      </c>
      <c r="F61" s="357">
        <f>SUM(C61:E61)</f>
        <v>74.328</v>
      </c>
    </row>
    <row r="62" spans="1:6" ht="12">
      <c r="A62" s="362"/>
      <c r="B62" s="356"/>
      <c r="C62" s="357"/>
      <c r="D62" s="357"/>
      <c r="E62" s="357"/>
      <c r="F62" s="357"/>
    </row>
    <row r="64" ht="12.75">
      <c r="A64" s="367" t="s">
        <v>393</v>
      </c>
    </row>
    <row r="65" ht="12">
      <c r="A65" s="73" t="s">
        <v>394</v>
      </c>
    </row>
  </sheetData>
  <sheetProtection/>
  <printOptions/>
  <pageMargins left="0.7480314960629921" right="0.31496062992125984" top="0.51" bottom="0.53" header="0.35" footer="0.32"/>
  <pageSetup fitToHeight="1" fitToWidth="1" horizontalDpi="300" verticalDpi="3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18"/>
  <sheetViews>
    <sheetView zoomScalePageLayoutView="0" workbookViewId="0" topLeftCell="A1">
      <pane xSplit="3" ySplit="7" topLeftCell="D6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6" sqref="A66"/>
    </sheetView>
  </sheetViews>
  <sheetFormatPr defaultColWidth="9.140625" defaultRowHeight="12.75"/>
  <cols>
    <col min="1" max="1" width="7.7109375" style="203" customWidth="1"/>
    <col min="2" max="2" width="35.28125" style="203" customWidth="1"/>
    <col min="3" max="3" width="10.140625" style="203" customWidth="1"/>
    <col min="4" max="4" width="11.140625" style="204" hidden="1" customWidth="1"/>
    <col min="5" max="5" width="11.140625" style="203" customWidth="1"/>
    <col min="6" max="6" width="12.140625" style="203" customWidth="1"/>
    <col min="7" max="7" width="11.8515625" style="205" customWidth="1"/>
    <col min="8" max="8" width="11.00390625" style="206" customWidth="1"/>
    <col min="9" max="9" width="10.57421875" style="206" customWidth="1"/>
    <col min="10" max="10" width="11.140625" style="206" customWidth="1"/>
    <col min="11" max="11" width="9.7109375" style="203" customWidth="1"/>
    <col min="12" max="12" width="5.00390625" style="207" customWidth="1"/>
    <col min="13" max="13" width="25.7109375" style="207" customWidth="1"/>
    <col min="14" max="16384" width="9.140625" style="203" customWidth="1"/>
  </cols>
  <sheetData>
    <row r="1" ht="12.75"/>
    <row r="2" spans="2:5" ht="18">
      <c r="B2" s="371" t="s">
        <v>398</v>
      </c>
      <c r="C2" s="371"/>
      <c r="D2" s="371"/>
      <c r="E2" s="371"/>
    </row>
    <row r="3" spans="2:5" ht="18">
      <c r="B3" s="371" t="s">
        <v>399</v>
      </c>
      <c r="C3" s="371"/>
      <c r="D3" s="371"/>
      <c r="E3" s="371"/>
    </row>
    <row r="4" spans="2:5" ht="18">
      <c r="B4" s="371" t="s">
        <v>400</v>
      </c>
      <c r="C4" s="371"/>
      <c r="D4" s="371"/>
      <c r="E4" s="371"/>
    </row>
    <row r="5" ht="12.75"/>
    <row r="6" spans="1:13" s="209" customFormat="1" ht="18" customHeight="1">
      <c r="A6" s="398" t="s">
        <v>257</v>
      </c>
      <c r="B6" s="398" t="s">
        <v>168</v>
      </c>
      <c r="C6" s="398" t="s">
        <v>221</v>
      </c>
      <c r="D6" s="404" t="s">
        <v>196</v>
      </c>
      <c r="E6" s="406" t="s">
        <v>197</v>
      </c>
      <c r="F6" s="407"/>
      <c r="G6" s="407"/>
      <c r="H6" s="407"/>
      <c r="I6" s="408"/>
      <c r="J6" s="398" t="s">
        <v>261</v>
      </c>
      <c r="K6" s="398" t="s">
        <v>169</v>
      </c>
      <c r="L6" s="208"/>
      <c r="M6" s="208"/>
    </row>
    <row r="7" spans="1:13" s="209" customFormat="1" ht="33.75" customHeight="1">
      <c r="A7" s="399"/>
      <c r="B7" s="399"/>
      <c r="C7" s="399"/>
      <c r="D7" s="405"/>
      <c r="E7" s="212" t="s">
        <v>258</v>
      </c>
      <c r="F7" s="213" t="s">
        <v>259</v>
      </c>
      <c r="G7" s="214" t="s">
        <v>170</v>
      </c>
      <c r="H7" s="214" t="s">
        <v>171</v>
      </c>
      <c r="I7" s="214" t="s">
        <v>260</v>
      </c>
      <c r="J7" s="399"/>
      <c r="K7" s="399"/>
      <c r="L7" s="208"/>
      <c r="M7" s="208" t="s">
        <v>323</v>
      </c>
    </row>
    <row r="8" spans="1:11" ht="27.75" customHeight="1">
      <c r="A8" s="400" t="s">
        <v>262</v>
      </c>
      <c r="B8" s="401"/>
      <c r="C8" s="401"/>
      <c r="D8" s="290"/>
      <c r="E8" s="216"/>
      <c r="F8" s="216"/>
      <c r="G8" s="290"/>
      <c r="H8" s="291"/>
      <c r="I8" s="291"/>
      <c r="J8" s="292"/>
      <c r="K8" s="218"/>
    </row>
    <row r="9" spans="1:13" ht="13.5" customHeight="1">
      <c r="A9" s="219" t="s">
        <v>180</v>
      </c>
      <c r="B9" s="324" t="s">
        <v>181</v>
      </c>
      <c r="C9" s="219" t="s">
        <v>200</v>
      </c>
      <c r="D9" s="221">
        <v>9000000</v>
      </c>
      <c r="E9" s="222">
        <v>0</v>
      </c>
      <c r="F9" s="223">
        <v>1000000</v>
      </c>
      <c r="G9" s="224">
        <v>1000000</v>
      </c>
      <c r="H9" s="224">
        <v>0</v>
      </c>
      <c r="I9" s="224">
        <v>0</v>
      </c>
      <c r="J9" s="225">
        <f aca="true" t="shared" si="0" ref="J9:J26">G9+H9+I9</f>
        <v>1000000</v>
      </c>
      <c r="K9" s="226" t="s">
        <v>175</v>
      </c>
      <c r="L9" s="342"/>
      <c r="M9" s="57" t="s">
        <v>58</v>
      </c>
    </row>
    <row r="10" spans="1:13" s="209" customFormat="1" ht="15.75">
      <c r="A10" s="215"/>
      <c r="B10" s="216" t="s">
        <v>172</v>
      </c>
      <c r="C10" s="227"/>
      <c r="D10" s="228">
        <f aca="true" t="shared" si="1" ref="D10:I10">SUM(D9:D9)</f>
        <v>9000000</v>
      </c>
      <c r="E10" s="229">
        <f t="shared" si="1"/>
        <v>0</v>
      </c>
      <c r="F10" s="293">
        <f t="shared" si="1"/>
        <v>1000000</v>
      </c>
      <c r="G10" s="250">
        <f t="shared" si="1"/>
        <v>1000000</v>
      </c>
      <c r="H10" s="229">
        <f t="shared" si="1"/>
        <v>0</v>
      </c>
      <c r="I10" s="229">
        <f t="shared" si="1"/>
        <v>0</v>
      </c>
      <c r="J10" s="230">
        <f>G10+H10+I10</f>
        <v>1000000</v>
      </c>
      <c r="K10" s="231"/>
      <c r="L10" s="208"/>
      <c r="M10" s="208"/>
    </row>
    <row r="11" spans="1:11" ht="30.75" customHeight="1">
      <c r="A11" s="400" t="s">
        <v>263</v>
      </c>
      <c r="B11" s="401"/>
      <c r="C11" s="401"/>
      <c r="D11" s="294"/>
      <c r="E11" s="216"/>
      <c r="F11" s="216"/>
      <c r="G11" s="294"/>
      <c r="H11" s="295"/>
      <c r="I11" s="295"/>
      <c r="J11" s="296"/>
      <c r="K11" s="297"/>
    </row>
    <row r="12" spans="1:13" ht="22.5">
      <c r="A12" s="219" t="s">
        <v>411</v>
      </c>
      <c r="B12" s="324" t="s">
        <v>267</v>
      </c>
      <c r="C12" s="219" t="s">
        <v>264</v>
      </c>
      <c r="D12" s="224">
        <v>150000</v>
      </c>
      <c r="E12" s="222">
        <v>2632000</v>
      </c>
      <c r="F12" s="223">
        <v>0</v>
      </c>
      <c r="G12" s="224">
        <v>2632000</v>
      </c>
      <c r="H12" s="224">
        <v>0</v>
      </c>
      <c r="I12" s="224">
        <v>0</v>
      </c>
      <c r="J12" s="225">
        <f t="shared" si="0"/>
        <v>2632000</v>
      </c>
      <c r="K12" s="226" t="s">
        <v>175</v>
      </c>
      <c r="L12" s="323"/>
      <c r="M12" s="47" t="s">
        <v>61</v>
      </c>
    </row>
    <row r="13" spans="1:13" ht="22.5">
      <c r="A13" s="219" t="s">
        <v>412</v>
      </c>
      <c r="B13" s="324" t="s">
        <v>268</v>
      </c>
      <c r="C13" s="219" t="s">
        <v>264</v>
      </c>
      <c r="D13" s="224">
        <v>0</v>
      </c>
      <c r="E13" s="222">
        <v>1900500</v>
      </c>
      <c r="F13" s="223">
        <v>0</v>
      </c>
      <c r="G13" s="224">
        <v>1900500</v>
      </c>
      <c r="H13" s="224">
        <v>0</v>
      </c>
      <c r="I13" s="224">
        <v>0</v>
      </c>
      <c r="J13" s="225">
        <f t="shared" si="0"/>
        <v>1900500</v>
      </c>
      <c r="K13" s="226" t="s">
        <v>175</v>
      </c>
      <c r="L13" s="323"/>
      <c r="M13" s="47" t="s">
        <v>61</v>
      </c>
    </row>
    <row r="14" spans="1:13" ht="12.75">
      <c r="A14" s="219" t="s">
        <v>413</v>
      </c>
      <c r="B14" s="324" t="s">
        <v>269</v>
      </c>
      <c r="C14" s="219" t="s">
        <v>264</v>
      </c>
      <c r="D14" s="224">
        <v>2500000</v>
      </c>
      <c r="E14" s="222">
        <v>44000</v>
      </c>
      <c r="F14" s="223">
        <v>0</v>
      </c>
      <c r="G14" s="224">
        <v>44000</v>
      </c>
      <c r="H14" s="224">
        <v>0</v>
      </c>
      <c r="I14" s="224">
        <v>0</v>
      </c>
      <c r="J14" s="225">
        <f t="shared" si="0"/>
        <v>44000</v>
      </c>
      <c r="K14" s="226" t="s">
        <v>175</v>
      </c>
      <c r="L14" s="323"/>
      <c r="M14" s="47" t="s">
        <v>61</v>
      </c>
    </row>
    <row r="15" spans="1:13" ht="12.75">
      <c r="A15" s="219" t="s">
        <v>414</v>
      </c>
      <c r="B15" s="324" t="s">
        <v>270</v>
      </c>
      <c r="C15" s="219" t="s">
        <v>264</v>
      </c>
      <c r="D15" s="224">
        <v>0</v>
      </c>
      <c r="E15" s="222">
        <v>483150</v>
      </c>
      <c r="F15" s="223">
        <v>0</v>
      </c>
      <c r="G15" s="224">
        <v>483150</v>
      </c>
      <c r="H15" s="224">
        <v>0</v>
      </c>
      <c r="I15" s="224">
        <v>0</v>
      </c>
      <c r="J15" s="225">
        <f t="shared" si="0"/>
        <v>483150</v>
      </c>
      <c r="K15" s="226" t="s">
        <v>175</v>
      </c>
      <c r="L15" s="323"/>
      <c r="M15" s="47" t="s">
        <v>61</v>
      </c>
    </row>
    <row r="16" spans="1:13" ht="12.75">
      <c r="A16" s="219" t="s">
        <v>415</v>
      </c>
      <c r="B16" s="324" t="s">
        <v>271</v>
      </c>
      <c r="C16" s="219" t="s">
        <v>264</v>
      </c>
      <c r="D16" s="224"/>
      <c r="E16" s="222">
        <v>281000</v>
      </c>
      <c r="F16" s="223">
        <v>0</v>
      </c>
      <c r="G16" s="224">
        <v>281000</v>
      </c>
      <c r="H16" s="224">
        <v>0</v>
      </c>
      <c r="I16" s="224">
        <v>0</v>
      </c>
      <c r="J16" s="225">
        <f t="shared" si="0"/>
        <v>281000</v>
      </c>
      <c r="K16" s="226" t="s">
        <v>175</v>
      </c>
      <c r="L16" s="323"/>
      <c r="M16" s="47" t="s">
        <v>61</v>
      </c>
    </row>
    <row r="17" spans="1:13" ht="22.5">
      <c r="A17" s="219" t="s">
        <v>416</v>
      </c>
      <c r="B17" s="324" t="s">
        <v>272</v>
      </c>
      <c r="C17" s="219" t="s">
        <v>264</v>
      </c>
      <c r="D17" s="224"/>
      <c r="E17" s="222">
        <v>265000</v>
      </c>
      <c r="F17" s="223">
        <v>0</v>
      </c>
      <c r="G17" s="224">
        <v>265000</v>
      </c>
      <c r="H17" s="224">
        <v>0</v>
      </c>
      <c r="I17" s="224">
        <v>0</v>
      </c>
      <c r="J17" s="225">
        <f t="shared" si="0"/>
        <v>265000</v>
      </c>
      <c r="K17" s="226" t="s">
        <v>175</v>
      </c>
      <c r="L17" s="323"/>
      <c r="M17" s="47" t="s">
        <v>61</v>
      </c>
    </row>
    <row r="18" spans="1:13" ht="12.75">
      <c r="A18" s="219" t="s">
        <v>417</v>
      </c>
      <c r="B18" s="324" t="s">
        <v>273</v>
      </c>
      <c r="C18" s="219" t="s">
        <v>264</v>
      </c>
      <c r="D18" s="224"/>
      <c r="E18" s="222">
        <v>1500000</v>
      </c>
      <c r="F18" s="223">
        <v>0</v>
      </c>
      <c r="G18" s="224">
        <v>1500000</v>
      </c>
      <c r="H18" s="224">
        <v>0</v>
      </c>
      <c r="I18" s="224">
        <v>0</v>
      </c>
      <c r="J18" s="225">
        <f t="shared" si="0"/>
        <v>1500000</v>
      </c>
      <c r="K18" s="226" t="s">
        <v>175</v>
      </c>
      <c r="L18" s="323"/>
      <c r="M18" s="47" t="s">
        <v>61</v>
      </c>
    </row>
    <row r="19" spans="1:13" ht="12.75">
      <c r="A19" s="219" t="s">
        <v>418</v>
      </c>
      <c r="B19" s="324" t="s">
        <v>274</v>
      </c>
      <c r="C19" s="219" t="s">
        <v>265</v>
      </c>
      <c r="D19" s="224"/>
      <c r="E19" s="222">
        <v>317850</v>
      </c>
      <c r="F19" s="223">
        <v>0</v>
      </c>
      <c r="G19" s="224">
        <f>316880+970</f>
        <v>317850</v>
      </c>
      <c r="H19" s="224">
        <v>0</v>
      </c>
      <c r="I19" s="224">
        <v>0</v>
      </c>
      <c r="J19" s="225">
        <f t="shared" si="0"/>
        <v>317850</v>
      </c>
      <c r="K19" s="226" t="s">
        <v>175</v>
      </c>
      <c r="L19" s="323"/>
      <c r="M19" s="47" t="s">
        <v>61</v>
      </c>
    </row>
    <row r="20" spans="1:13" ht="12.75">
      <c r="A20" s="219" t="s">
        <v>419</v>
      </c>
      <c r="B20" s="324" t="s">
        <v>275</v>
      </c>
      <c r="C20" s="219" t="s">
        <v>264</v>
      </c>
      <c r="D20" s="224"/>
      <c r="E20" s="222">
        <v>60000</v>
      </c>
      <c r="F20" s="223">
        <v>0</v>
      </c>
      <c r="G20" s="224">
        <v>60000</v>
      </c>
      <c r="H20" s="224">
        <v>0</v>
      </c>
      <c r="I20" s="224">
        <v>0</v>
      </c>
      <c r="J20" s="225">
        <f t="shared" si="0"/>
        <v>60000</v>
      </c>
      <c r="K20" s="226" t="s">
        <v>175</v>
      </c>
      <c r="L20" s="323"/>
      <c r="M20" s="47" t="s">
        <v>61</v>
      </c>
    </row>
    <row r="21" spans="1:13" ht="12.75">
      <c r="A21" s="219" t="s">
        <v>420</v>
      </c>
      <c r="B21" s="324" t="s">
        <v>276</v>
      </c>
      <c r="C21" s="219" t="s">
        <v>264</v>
      </c>
      <c r="D21" s="224"/>
      <c r="E21" s="222">
        <v>61500</v>
      </c>
      <c r="F21" s="223">
        <v>0</v>
      </c>
      <c r="G21" s="224">
        <v>61500</v>
      </c>
      <c r="H21" s="224">
        <v>0</v>
      </c>
      <c r="I21" s="224">
        <v>0</v>
      </c>
      <c r="J21" s="225">
        <f t="shared" si="0"/>
        <v>61500</v>
      </c>
      <c r="K21" s="226" t="s">
        <v>175</v>
      </c>
      <c r="L21" s="323"/>
      <c r="M21" s="47" t="s">
        <v>61</v>
      </c>
    </row>
    <row r="22" spans="1:13" ht="12.75">
      <c r="A22" s="219" t="s">
        <v>421</v>
      </c>
      <c r="B22" s="324" t="s">
        <v>277</v>
      </c>
      <c r="C22" s="219" t="s">
        <v>264</v>
      </c>
      <c r="D22" s="224"/>
      <c r="E22" s="222">
        <v>300000</v>
      </c>
      <c r="F22" s="223">
        <v>0</v>
      </c>
      <c r="G22" s="224">
        <v>300000</v>
      </c>
      <c r="H22" s="224">
        <v>0</v>
      </c>
      <c r="I22" s="224">
        <v>0</v>
      </c>
      <c r="J22" s="225">
        <f t="shared" si="0"/>
        <v>300000</v>
      </c>
      <c r="K22" s="226" t="s">
        <v>175</v>
      </c>
      <c r="L22" s="323"/>
      <c r="M22" s="47" t="s">
        <v>61</v>
      </c>
    </row>
    <row r="23" spans="1:13" ht="22.5">
      <c r="A23" s="219" t="s">
        <v>422</v>
      </c>
      <c r="B23" s="324" t="s">
        <v>278</v>
      </c>
      <c r="C23" s="219" t="s">
        <v>264</v>
      </c>
      <c r="D23" s="224"/>
      <c r="E23" s="222">
        <v>600000</v>
      </c>
      <c r="F23" s="223">
        <v>0</v>
      </c>
      <c r="G23" s="224">
        <v>600000</v>
      </c>
      <c r="H23" s="224">
        <v>0</v>
      </c>
      <c r="I23" s="224">
        <v>0</v>
      </c>
      <c r="J23" s="225">
        <f t="shared" si="0"/>
        <v>600000</v>
      </c>
      <c r="K23" s="226" t="s">
        <v>175</v>
      </c>
      <c r="L23" s="323"/>
      <c r="M23" s="47" t="s">
        <v>61</v>
      </c>
    </row>
    <row r="24" spans="1:13" ht="22.5">
      <c r="A24" s="219" t="s">
        <v>423</v>
      </c>
      <c r="B24" s="324" t="s">
        <v>266</v>
      </c>
      <c r="C24" s="219" t="s">
        <v>264</v>
      </c>
      <c r="D24" s="224"/>
      <c r="E24" s="222"/>
      <c r="F24" s="223">
        <v>200000</v>
      </c>
      <c r="G24" s="224">
        <v>200000</v>
      </c>
      <c r="H24" s="224">
        <v>0</v>
      </c>
      <c r="I24" s="224">
        <v>0</v>
      </c>
      <c r="J24" s="225">
        <f t="shared" si="0"/>
        <v>200000</v>
      </c>
      <c r="K24" s="226" t="s">
        <v>175</v>
      </c>
      <c r="M24" s="47" t="s">
        <v>61</v>
      </c>
    </row>
    <row r="25" spans="1:13" ht="12.75">
      <c r="A25" s="219" t="s">
        <v>424</v>
      </c>
      <c r="B25" s="324" t="s">
        <v>401</v>
      </c>
      <c r="C25" s="219" t="s">
        <v>264</v>
      </c>
      <c r="D25" s="224"/>
      <c r="E25" s="222">
        <v>840000</v>
      </c>
      <c r="F25" s="223">
        <v>0</v>
      </c>
      <c r="G25" s="224">
        <v>840000</v>
      </c>
      <c r="H25" s="224">
        <v>0</v>
      </c>
      <c r="I25" s="224">
        <v>0</v>
      </c>
      <c r="J25" s="225">
        <f t="shared" si="0"/>
        <v>840000</v>
      </c>
      <c r="K25" s="226" t="s">
        <v>175</v>
      </c>
      <c r="M25" s="47" t="s">
        <v>61</v>
      </c>
    </row>
    <row r="26" spans="1:13" ht="12.75">
      <c r="A26" s="219" t="s">
        <v>285</v>
      </c>
      <c r="B26" s="249" t="s">
        <v>183</v>
      </c>
      <c r="C26" s="219" t="s">
        <v>203</v>
      </c>
      <c r="D26" s="224"/>
      <c r="E26" s="222">
        <v>0</v>
      </c>
      <c r="F26" s="223">
        <v>150000</v>
      </c>
      <c r="G26" s="224">
        <v>150000</v>
      </c>
      <c r="H26" s="224">
        <v>0</v>
      </c>
      <c r="I26" s="224">
        <v>0</v>
      </c>
      <c r="J26" s="225">
        <f t="shared" si="0"/>
        <v>150000</v>
      </c>
      <c r="K26" s="226" t="s">
        <v>175</v>
      </c>
      <c r="M26" s="47" t="s">
        <v>61</v>
      </c>
    </row>
    <row r="27" spans="1:13" s="209" customFormat="1" ht="19.5" customHeight="1">
      <c r="A27" s="232"/>
      <c r="B27" s="232" t="s">
        <v>172</v>
      </c>
      <c r="C27" s="232"/>
      <c r="D27" s="233">
        <f>SUM(D12:D25)</f>
        <v>2650000</v>
      </c>
      <c r="E27" s="233">
        <f>SUM(E12:E26)</f>
        <v>9285000</v>
      </c>
      <c r="F27" s="234">
        <f>SUM(F12:F26)</f>
        <v>350000</v>
      </c>
      <c r="G27" s="233">
        <f>SUM(G12:G26)</f>
        <v>9635000</v>
      </c>
      <c r="H27" s="233">
        <f>SUM(H12:H26)</f>
        <v>0</v>
      </c>
      <c r="I27" s="233">
        <f>SUM(I12:I26)</f>
        <v>0</v>
      </c>
      <c r="J27" s="230">
        <f>G27+H27+I27</f>
        <v>9635000</v>
      </c>
      <c r="K27" s="235"/>
      <c r="L27" s="253"/>
      <c r="M27" s="208"/>
    </row>
    <row r="28" spans="1:13" s="209" customFormat="1" ht="27" customHeight="1">
      <c r="A28" s="402" t="s">
        <v>279</v>
      </c>
      <c r="B28" s="403"/>
      <c r="C28" s="403"/>
      <c r="D28" s="298"/>
      <c r="E28" s="299"/>
      <c r="F28" s="299"/>
      <c r="G28" s="298"/>
      <c r="H28" s="298"/>
      <c r="I28" s="298"/>
      <c r="J28" s="296"/>
      <c r="K28" s="300"/>
      <c r="L28" s="208"/>
      <c r="M28" s="208"/>
    </row>
    <row r="29" spans="1:13" ht="12.75">
      <c r="A29" s="240" t="s">
        <v>176</v>
      </c>
      <c r="B29" s="327" t="s">
        <v>177</v>
      </c>
      <c r="C29" s="219" t="s">
        <v>199</v>
      </c>
      <c r="D29" s="224">
        <v>0</v>
      </c>
      <c r="E29" s="222">
        <v>0</v>
      </c>
      <c r="F29" s="223">
        <v>100000</v>
      </c>
      <c r="G29" s="224">
        <v>100000</v>
      </c>
      <c r="H29" s="237">
        <v>150000</v>
      </c>
      <c r="I29" s="237">
        <v>150000</v>
      </c>
      <c r="J29" s="225">
        <f>G29+H29+I29</f>
        <v>400000</v>
      </c>
      <c r="K29" s="226" t="s">
        <v>175</v>
      </c>
      <c r="M29" s="57" t="s">
        <v>57</v>
      </c>
    </row>
    <row r="30" spans="1:13" ht="24" customHeight="1">
      <c r="A30" s="240" t="s">
        <v>178</v>
      </c>
      <c r="B30" s="327" t="s">
        <v>179</v>
      </c>
      <c r="C30" s="219" t="s">
        <v>199</v>
      </c>
      <c r="D30" s="224">
        <v>700000</v>
      </c>
      <c r="E30" s="222">
        <v>0</v>
      </c>
      <c r="F30" s="241">
        <v>500000</v>
      </c>
      <c r="G30" s="224">
        <v>500000</v>
      </c>
      <c r="H30" s="237">
        <v>700000</v>
      </c>
      <c r="I30" s="237">
        <v>700000</v>
      </c>
      <c r="J30" s="225">
        <f>G30+H30+I30</f>
        <v>1900000</v>
      </c>
      <c r="K30" s="226" t="s">
        <v>175</v>
      </c>
      <c r="M30" s="57" t="s">
        <v>57</v>
      </c>
    </row>
    <row r="31" spans="1:13" ht="24" customHeight="1">
      <c r="A31" s="240" t="s">
        <v>280</v>
      </c>
      <c r="B31" s="328" t="s">
        <v>222</v>
      </c>
      <c r="C31" s="238" t="s">
        <v>199</v>
      </c>
      <c r="D31" s="224">
        <v>0</v>
      </c>
      <c r="E31" s="222">
        <v>0</v>
      </c>
      <c r="F31" s="223">
        <v>420000</v>
      </c>
      <c r="G31" s="224">
        <v>420000</v>
      </c>
      <c r="H31" s="224">
        <v>0</v>
      </c>
      <c r="I31" s="224">
        <v>0</v>
      </c>
      <c r="J31" s="225">
        <f>G31+H31+I31</f>
        <v>420000</v>
      </c>
      <c r="K31" s="226" t="s">
        <v>175</v>
      </c>
      <c r="M31" s="57" t="s">
        <v>57</v>
      </c>
    </row>
    <row r="32" spans="1:13" s="245" customFormat="1" ht="24" customHeight="1">
      <c r="A32" s="240" t="s">
        <v>425</v>
      </c>
      <c r="B32" s="328" t="s">
        <v>281</v>
      </c>
      <c r="C32" s="242" t="s">
        <v>199</v>
      </c>
      <c r="D32" s="224">
        <v>0</v>
      </c>
      <c r="E32" s="243">
        <v>0</v>
      </c>
      <c r="F32" s="241">
        <v>1500000</v>
      </c>
      <c r="G32" s="224">
        <v>1500000</v>
      </c>
      <c r="H32" s="224">
        <v>1500000</v>
      </c>
      <c r="I32" s="224">
        <v>1500000</v>
      </c>
      <c r="J32" s="237">
        <f>G32+H32+I32</f>
        <v>4500000</v>
      </c>
      <c r="K32" s="226" t="s">
        <v>175</v>
      </c>
      <c r="L32" s="244"/>
      <c r="M32" s="57" t="s">
        <v>57</v>
      </c>
    </row>
    <row r="33" spans="1:13" s="245" customFormat="1" ht="24" customHeight="1">
      <c r="A33" s="240" t="s">
        <v>426</v>
      </c>
      <c r="B33" s="328" t="s">
        <v>402</v>
      </c>
      <c r="C33" s="242" t="s">
        <v>199</v>
      </c>
      <c r="D33" s="224"/>
      <c r="E33" s="243">
        <v>750000</v>
      </c>
      <c r="F33" s="241">
        <v>0</v>
      </c>
      <c r="G33" s="224">
        <v>750000</v>
      </c>
      <c r="H33" s="224">
        <v>0</v>
      </c>
      <c r="I33" s="224">
        <v>0</v>
      </c>
      <c r="J33" s="237">
        <v>0</v>
      </c>
      <c r="K33" s="226" t="s">
        <v>403</v>
      </c>
      <c r="L33" s="244"/>
      <c r="M33" s="57" t="s">
        <v>57</v>
      </c>
    </row>
    <row r="34" spans="1:13" s="209" customFormat="1" ht="15.75">
      <c r="A34" s="210"/>
      <c r="B34" s="217" t="s">
        <v>172</v>
      </c>
      <c r="C34" s="217"/>
      <c r="D34" s="246">
        <f>SUM(D29:D32)</f>
        <v>700000</v>
      </c>
      <c r="E34" s="234">
        <f>SUM(E29:E33)</f>
        <v>750000</v>
      </c>
      <c r="F34" s="234">
        <f>SUM(F29:F33)</f>
        <v>2520000</v>
      </c>
      <c r="G34" s="246">
        <f>SUM(G29:G33)</f>
        <v>3270000</v>
      </c>
      <c r="H34" s="246">
        <f>SUM(H29:H33)</f>
        <v>2350000</v>
      </c>
      <c r="I34" s="246">
        <f>SUM(I29:I33)</f>
        <v>2350000</v>
      </c>
      <c r="J34" s="230">
        <f>G34+H34+I34</f>
        <v>7970000</v>
      </c>
      <c r="K34" s="235"/>
      <c r="L34" s="208"/>
      <c r="M34" s="208"/>
    </row>
    <row r="35" spans="1:13" s="209" customFormat="1" ht="25.5" customHeight="1">
      <c r="A35" s="400" t="s">
        <v>282</v>
      </c>
      <c r="B35" s="401"/>
      <c r="C35" s="401"/>
      <c r="D35" s="301"/>
      <c r="E35" s="302"/>
      <c r="F35" s="302"/>
      <c r="G35" s="301"/>
      <c r="H35" s="294"/>
      <c r="I35" s="294"/>
      <c r="J35" s="296"/>
      <c r="K35" s="297"/>
      <c r="L35" s="208"/>
      <c r="M35" s="208"/>
    </row>
    <row r="36" spans="1:13" s="254" customFormat="1" ht="12.75">
      <c r="A36" s="248"/>
      <c r="B36" s="249"/>
      <c r="C36" s="242" t="s">
        <v>198</v>
      </c>
      <c r="D36" s="246">
        <v>0</v>
      </c>
      <c r="E36" s="250">
        <v>0</v>
      </c>
      <c r="F36" s="241">
        <v>0</v>
      </c>
      <c r="G36" s="251">
        <v>0</v>
      </c>
      <c r="H36" s="246">
        <v>0</v>
      </c>
      <c r="I36" s="246">
        <v>0</v>
      </c>
      <c r="J36" s="237">
        <f>G36+H36+I36</f>
        <v>0</v>
      </c>
      <c r="K36" s="252"/>
      <c r="L36" s="253"/>
      <c r="M36" s="57" t="s">
        <v>66</v>
      </c>
    </row>
    <row r="37" spans="1:13" s="209" customFormat="1" ht="15.75">
      <c r="A37" s="215"/>
      <c r="B37" s="216" t="s">
        <v>172</v>
      </c>
      <c r="C37" s="227"/>
      <c r="D37" s="255">
        <f aca="true" t="shared" si="2" ref="D37:I37">SUM(D36)</f>
        <v>0</v>
      </c>
      <c r="E37" s="255">
        <f t="shared" si="2"/>
        <v>0</v>
      </c>
      <c r="F37" s="256">
        <f t="shared" si="2"/>
        <v>0</v>
      </c>
      <c r="G37" s="255">
        <f t="shared" si="2"/>
        <v>0</v>
      </c>
      <c r="H37" s="255">
        <f t="shared" si="2"/>
        <v>0</v>
      </c>
      <c r="I37" s="255">
        <f t="shared" si="2"/>
        <v>0</v>
      </c>
      <c r="J37" s="230">
        <f>G37+H37+I37</f>
        <v>0</v>
      </c>
      <c r="K37" s="235"/>
      <c r="L37" s="208"/>
      <c r="M37" s="208"/>
    </row>
    <row r="38" spans="1:13" s="209" customFormat="1" ht="30" customHeight="1">
      <c r="A38" s="400" t="s">
        <v>283</v>
      </c>
      <c r="B38" s="401"/>
      <c r="C38" s="401"/>
      <c r="D38" s="401"/>
      <c r="E38" s="401"/>
      <c r="F38" s="302"/>
      <c r="G38" s="301"/>
      <c r="H38" s="294"/>
      <c r="I38" s="294"/>
      <c r="J38" s="296"/>
      <c r="K38" s="297"/>
      <c r="L38" s="208"/>
      <c r="M38" s="208"/>
    </row>
    <row r="39" spans="1:13" s="209" customFormat="1" ht="12.75">
      <c r="A39" s="219" t="s">
        <v>289</v>
      </c>
      <c r="B39" s="324" t="s">
        <v>182</v>
      </c>
      <c r="C39" s="219" t="s">
        <v>203</v>
      </c>
      <c r="D39" s="258">
        <v>150000</v>
      </c>
      <c r="E39" s="259">
        <v>1000000</v>
      </c>
      <c r="F39" s="260">
        <v>0</v>
      </c>
      <c r="G39" s="258">
        <v>1000000</v>
      </c>
      <c r="H39" s="237">
        <v>0</v>
      </c>
      <c r="I39" s="237">
        <v>0</v>
      </c>
      <c r="J39" s="225">
        <f aca="true" t="shared" si="3" ref="J39:J47">G39+H39+I39</f>
        <v>1000000</v>
      </c>
      <c r="K39" s="226" t="s">
        <v>175</v>
      </c>
      <c r="L39" s="207"/>
      <c r="M39" s="47" t="s">
        <v>56</v>
      </c>
    </row>
    <row r="40" spans="1:13" s="209" customFormat="1" ht="12.75">
      <c r="A40" s="257" t="s">
        <v>286</v>
      </c>
      <c r="B40" s="324" t="s">
        <v>288</v>
      </c>
      <c r="C40" s="219" t="s">
        <v>203</v>
      </c>
      <c r="D40" s="258">
        <v>150000</v>
      </c>
      <c r="E40" s="259">
        <v>0</v>
      </c>
      <c r="F40" s="260">
        <v>500000</v>
      </c>
      <c r="G40" s="258">
        <v>500000</v>
      </c>
      <c r="H40" s="237">
        <v>0</v>
      </c>
      <c r="I40" s="237">
        <v>0</v>
      </c>
      <c r="J40" s="225">
        <f t="shared" si="3"/>
        <v>500000</v>
      </c>
      <c r="K40" s="226" t="s">
        <v>175</v>
      </c>
      <c r="L40" s="207"/>
      <c r="M40" s="47" t="s">
        <v>56</v>
      </c>
    </row>
    <row r="41" spans="1:13" s="209" customFormat="1" ht="12.75">
      <c r="A41" s="257" t="s">
        <v>284</v>
      </c>
      <c r="B41" s="324" t="s">
        <v>223</v>
      </c>
      <c r="C41" s="219" t="s">
        <v>264</v>
      </c>
      <c r="D41" s="258">
        <v>150000</v>
      </c>
      <c r="E41" s="259">
        <v>0</v>
      </c>
      <c r="F41" s="260">
        <v>1000000</v>
      </c>
      <c r="G41" s="258">
        <v>1000000</v>
      </c>
      <c r="H41" s="237">
        <v>0</v>
      </c>
      <c r="I41" s="237">
        <v>0</v>
      </c>
      <c r="J41" s="225">
        <f t="shared" si="3"/>
        <v>1000000</v>
      </c>
      <c r="K41" s="226" t="s">
        <v>175</v>
      </c>
      <c r="L41" s="207"/>
      <c r="M41" s="57" t="s">
        <v>55</v>
      </c>
    </row>
    <row r="42" spans="1:13" s="209" customFormat="1" ht="12.75">
      <c r="A42" s="219" t="s">
        <v>287</v>
      </c>
      <c r="B42" s="324" t="s">
        <v>224</v>
      </c>
      <c r="C42" s="219" t="s">
        <v>203</v>
      </c>
      <c r="D42" s="258">
        <v>150000</v>
      </c>
      <c r="E42" s="259">
        <v>2500000</v>
      </c>
      <c r="F42" s="260">
        <v>0</v>
      </c>
      <c r="G42" s="258">
        <v>2500000</v>
      </c>
      <c r="H42" s="237">
        <v>2000000</v>
      </c>
      <c r="I42" s="237">
        <v>0</v>
      </c>
      <c r="J42" s="225">
        <f t="shared" si="3"/>
        <v>4500000</v>
      </c>
      <c r="K42" s="226" t="s">
        <v>175</v>
      </c>
      <c r="L42" s="207"/>
      <c r="M42" s="47" t="s">
        <v>56</v>
      </c>
    </row>
    <row r="43" spans="1:13" ht="12.75">
      <c r="A43" s="219" t="s">
        <v>427</v>
      </c>
      <c r="B43" s="324" t="s">
        <v>290</v>
      </c>
      <c r="C43" s="219" t="s">
        <v>291</v>
      </c>
      <c r="D43" s="251">
        <v>0</v>
      </c>
      <c r="E43" s="222">
        <v>0</v>
      </c>
      <c r="F43" s="223">
        <v>200000</v>
      </c>
      <c r="G43" s="251">
        <v>200000</v>
      </c>
      <c r="H43" s="224">
        <v>0</v>
      </c>
      <c r="I43" s="224">
        <v>0</v>
      </c>
      <c r="J43" s="225">
        <f t="shared" si="3"/>
        <v>200000</v>
      </c>
      <c r="K43" s="226" t="s">
        <v>175</v>
      </c>
      <c r="M43" s="47" t="s">
        <v>56</v>
      </c>
    </row>
    <row r="44" spans="1:13" ht="12.75">
      <c r="A44" s="219" t="s">
        <v>428</v>
      </c>
      <c r="B44" s="324" t="s">
        <v>292</v>
      </c>
      <c r="C44" s="219" t="s">
        <v>203</v>
      </c>
      <c r="D44" s="265"/>
      <c r="E44" s="259">
        <v>600000</v>
      </c>
      <c r="F44" s="223">
        <v>0</v>
      </c>
      <c r="G44" s="251">
        <v>600000</v>
      </c>
      <c r="H44" s="224">
        <v>0</v>
      </c>
      <c r="I44" s="224">
        <v>0</v>
      </c>
      <c r="J44" s="225">
        <f t="shared" si="3"/>
        <v>600000</v>
      </c>
      <c r="K44" s="226" t="s">
        <v>175</v>
      </c>
      <c r="M44" s="47" t="s">
        <v>56</v>
      </c>
    </row>
    <row r="45" spans="1:13" ht="12.75">
      <c r="A45" s="219" t="s">
        <v>429</v>
      </c>
      <c r="B45" s="324" t="s">
        <v>293</v>
      </c>
      <c r="C45" s="219" t="s">
        <v>203</v>
      </c>
      <c r="D45" s="325"/>
      <c r="E45" s="326">
        <v>350000</v>
      </c>
      <c r="F45" s="223">
        <v>0</v>
      </c>
      <c r="G45" s="251">
        <v>350000</v>
      </c>
      <c r="H45" s="224">
        <v>0</v>
      </c>
      <c r="I45" s="224">
        <v>0</v>
      </c>
      <c r="J45" s="225">
        <f t="shared" si="3"/>
        <v>350000</v>
      </c>
      <c r="K45" s="226" t="s">
        <v>175</v>
      </c>
      <c r="M45" s="47" t="s">
        <v>56</v>
      </c>
    </row>
    <row r="46" spans="1:13" ht="12">
      <c r="A46" s="219" t="s">
        <v>429</v>
      </c>
      <c r="B46" s="324" t="s">
        <v>294</v>
      </c>
      <c r="C46" s="219" t="s">
        <v>200</v>
      </c>
      <c r="D46" s="325"/>
      <c r="E46" s="326">
        <v>0</v>
      </c>
      <c r="F46" s="223">
        <v>1000000</v>
      </c>
      <c r="G46" s="251">
        <v>1000000</v>
      </c>
      <c r="H46" s="224">
        <v>0</v>
      </c>
      <c r="I46" s="224">
        <v>0</v>
      </c>
      <c r="J46" s="225">
        <f t="shared" si="3"/>
        <v>1000000</v>
      </c>
      <c r="K46" s="226" t="s">
        <v>175</v>
      </c>
      <c r="M46" s="47" t="s">
        <v>56</v>
      </c>
    </row>
    <row r="47" spans="1:13" s="209" customFormat="1" ht="15">
      <c r="A47" s="215"/>
      <c r="B47" s="216" t="s">
        <v>172</v>
      </c>
      <c r="C47" s="227"/>
      <c r="D47" s="255">
        <f>SUM(D41:D43)</f>
        <v>300000</v>
      </c>
      <c r="E47" s="255">
        <f>SUM(E39:E46)</f>
        <v>4450000</v>
      </c>
      <c r="F47" s="256">
        <f>SUM(F39:F46)</f>
        <v>2700000</v>
      </c>
      <c r="G47" s="255">
        <f>SUM(G39:G46)</f>
        <v>7150000</v>
      </c>
      <c r="H47" s="255">
        <f>SUM(H39:H46)</f>
        <v>2000000</v>
      </c>
      <c r="I47" s="255">
        <f>SUM(I39:I46)</f>
        <v>0</v>
      </c>
      <c r="J47" s="230">
        <f t="shared" si="3"/>
        <v>9150000</v>
      </c>
      <c r="K47" s="235"/>
      <c r="L47" s="208"/>
      <c r="M47" s="208"/>
    </row>
    <row r="48" spans="1:11" ht="31.5" customHeight="1">
      <c r="A48" s="400" t="s">
        <v>295</v>
      </c>
      <c r="B48" s="401"/>
      <c r="C48" s="401"/>
      <c r="D48" s="303"/>
      <c r="E48" s="302"/>
      <c r="F48" s="302" t="s">
        <v>103</v>
      </c>
      <c r="G48" s="303"/>
      <c r="H48" s="294"/>
      <c r="I48" s="294"/>
      <c r="J48" s="296" t="s">
        <v>103</v>
      </c>
      <c r="K48" s="297"/>
    </row>
    <row r="49" spans="1:13" ht="12">
      <c r="A49" s="236" t="s">
        <v>173</v>
      </c>
      <c r="B49" s="238" t="s">
        <v>174</v>
      </c>
      <c r="C49" s="219" t="s">
        <v>198</v>
      </c>
      <c r="D49" s="239">
        <v>2000000</v>
      </c>
      <c r="E49" s="222">
        <v>2000000</v>
      </c>
      <c r="F49" s="223">
        <v>0</v>
      </c>
      <c r="G49" s="224">
        <v>2000000</v>
      </c>
      <c r="H49" s="237">
        <v>0</v>
      </c>
      <c r="I49" s="237">
        <v>0</v>
      </c>
      <c r="J49" s="225">
        <f>G49+H49+I49</f>
        <v>2000000</v>
      </c>
      <c r="K49" s="226" t="s">
        <v>175</v>
      </c>
      <c r="M49" s="57" t="s">
        <v>241</v>
      </c>
    </row>
    <row r="50" spans="1:12" ht="15">
      <c r="A50" s="232"/>
      <c r="B50" s="232" t="s">
        <v>172</v>
      </c>
      <c r="C50" s="261"/>
      <c r="D50" s="255">
        <f aca="true" t="shared" si="4" ref="D50:I50">SUM(D49:D49)</f>
        <v>2000000</v>
      </c>
      <c r="E50" s="255">
        <f t="shared" si="4"/>
        <v>2000000</v>
      </c>
      <c r="F50" s="256">
        <f t="shared" si="4"/>
        <v>0</v>
      </c>
      <c r="G50" s="255">
        <f t="shared" si="4"/>
        <v>2000000</v>
      </c>
      <c r="H50" s="255">
        <f t="shared" si="4"/>
        <v>0</v>
      </c>
      <c r="I50" s="255">
        <f t="shared" si="4"/>
        <v>0</v>
      </c>
      <c r="J50" s="230">
        <f>G50+H50+I50</f>
        <v>2000000</v>
      </c>
      <c r="K50" s="247"/>
      <c r="L50" s="253"/>
    </row>
    <row r="51" spans="1:11" ht="30.75" customHeight="1">
      <c r="A51" s="400" t="s">
        <v>296</v>
      </c>
      <c r="B51" s="401"/>
      <c r="C51" s="401"/>
      <c r="D51" s="401"/>
      <c r="E51" s="401"/>
      <c r="F51" s="302" t="s">
        <v>103</v>
      </c>
      <c r="G51" s="303"/>
      <c r="H51" s="294"/>
      <c r="I51" s="294"/>
      <c r="J51" s="296" t="s">
        <v>103</v>
      </c>
      <c r="K51" s="297"/>
    </row>
    <row r="52" spans="1:13" ht="12">
      <c r="A52" s="219" t="s">
        <v>201</v>
      </c>
      <c r="B52" s="324" t="s">
        <v>297</v>
      </c>
      <c r="C52" s="219" t="s">
        <v>202</v>
      </c>
      <c r="D52" s="258">
        <v>0</v>
      </c>
      <c r="E52" s="259">
        <v>0</v>
      </c>
      <c r="F52" s="260">
        <v>300000</v>
      </c>
      <c r="G52" s="258">
        <v>300000</v>
      </c>
      <c r="H52" s="237">
        <v>200000</v>
      </c>
      <c r="I52" s="237">
        <v>200000</v>
      </c>
      <c r="J52" s="225">
        <f aca="true" t="shared" si="5" ref="J52:J58">G52+H52+I52</f>
        <v>700000</v>
      </c>
      <c r="K52" s="226" t="s">
        <v>175</v>
      </c>
      <c r="M52" s="57" t="s">
        <v>55</v>
      </c>
    </row>
    <row r="53" spans="1:13" ht="12">
      <c r="A53" s="219" t="s">
        <v>431</v>
      </c>
      <c r="B53" s="324" t="s">
        <v>299</v>
      </c>
      <c r="C53" s="219" t="s">
        <v>202</v>
      </c>
      <c r="D53" s="258">
        <v>0</v>
      </c>
      <c r="E53" s="259">
        <v>0</v>
      </c>
      <c r="F53" s="260">
        <v>1000000</v>
      </c>
      <c r="G53" s="258">
        <v>1000000</v>
      </c>
      <c r="H53" s="237">
        <v>1000000</v>
      </c>
      <c r="I53" s="237">
        <v>1000000</v>
      </c>
      <c r="J53" s="225">
        <f t="shared" si="5"/>
        <v>3000000</v>
      </c>
      <c r="K53" s="226" t="s">
        <v>175</v>
      </c>
      <c r="M53" s="57" t="s">
        <v>55</v>
      </c>
    </row>
    <row r="54" spans="1:13" ht="12">
      <c r="A54" s="219" t="s">
        <v>430</v>
      </c>
      <c r="B54" s="324" t="s">
        <v>298</v>
      </c>
      <c r="C54" s="219" t="s">
        <v>264</v>
      </c>
      <c r="D54" s="258">
        <v>0</v>
      </c>
      <c r="E54" s="259">
        <v>0</v>
      </c>
      <c r="F54" s="260">
        <v>600000</v>
      </c>
      <c r="G54" s="258">
        <v>600000</v>
      </c>
      <c r="H54" s="237">
        <v>500000</v>
      </c>
      <c r="I54" s="237">
        <v>500000</v>
      </c>
      <c r="J54" s="225">
        <f t="shared" si="5"/>
        <v>1600000</v>
      </c>
      <c r="K54" s="226" t="s">
        <v>175</v>
      </c>
      <c r="M54" s="57" t="s">
        <v>55</v>
      </c>
    </row>
    <row r="55" spans="1:13" ht="12">
      <c r="A55" s="219" t="s">
        <v>432</v>
      </c>
      <c r="B55" s="324" t="s">
        <v>300</v>
      </c>
      <c r="C55" s="219" t="s">
        <v>202</v>
      </c>
      <c r="D55" s="258">
        <v>0</v>
      </c>
      <c r="E55" s="259">
        <v>0</v>
      </c>
      <c r="F55" s="260">
        <v>200000</v>
      </c>
      <c r="G55" s="258">
        <v>200000</v>
      </c>
      <c r="H55" s="237">
        <v>100000</v>
      </c>
      <c r="I55" s="237">
        <v>100000</v>
      </c>
      <c r="J55" s="225">
        <f t="shared" si="5"/>
        <v>400000</v>
      </c>
      <c r="K55" s="226" t="s">
        <v>175</v>
      </c>
      <c r="M55" s="57" t="s">
        <v>55</v>
      </c>
    </row>
    <row r="56" spans="1:13" ht="12">
      <c r="A56" s="219" t="s">
        <v>433</v>
      </c>
      <c r="B56" s="324" t="s">
        <v>301</v>
      </c>
      <c r="C56" s="219" t="s">
        <v>202</v>
      </c>
      <c r="D56" s="258">
        <v>0</v>
      </c>
      <c r="E56" s="259">
        <v>0</v>
      </c>
      <c r="F56" s="260">
        <v>150000</v>
      </c>
      <c r="G56" s="258">
        <v>150000</v>
      </c>
      <c r="H56" s="237">
        <v>90000</v>
      </c>
      <c r="I56" s="237">
        <v>90000</v>
      </c>
      <c r="J56" s="225">
        <f t="shared" si="5"/>
        <v>330000</v>
      </c>
      <c r="K56" s="226" t="s">
        <v>175</v>
      </c>
      <c r="M56" s="57" t="s">
        <v>55</v>
      </c>
    </row>
    <row r="57" spans="1:13" ht="12">
      <c r="A57" s="219" t="s">
        <v>434</v>
      </c>
      <c r="B57" s="324" t="s">
        <v>302</v>
      </c>
      <c r="C57" s="219" t="s">
        <v>202</v>
      </c>
      <c r="D57" s="258">
        <v>0</v>
      </c>
      <c r="E57" s="259">
        <v>0</v>
      </c>
      <c r="F57" s="260">
        <v>200000</v>
      </c>
      <c r="G57" s="258">
        <v>200000</v>
      </c>
      <c r="H57" s="237">
        <v>120000</v>
      </c>
      <c r="I57" s="237">
        <v>120000</v>
      </c>
      <c r="J57" s="225">
        <f t="shared" si="5"/>
        <v>440000</v>
      </c>
      <c r="K57" s="226" t="s">
        <v>175</v>
      </c>
      <c r="M57" s="57" t="s">
        <v>55</v>
      </c>
    </row>
    <row r="58" spans="1:13" ht="12">
      <c r="A58" s="219" t="s">
        <v>435</v>
      </c>
      <c r="B58" s="324" t="s">
        <v>303</v>
      </c>
      <c r="C58" s="219" t="s">
        <v>202</v>
      </c>
      <c r="D58" s="258">
        <v>0</v>
      </c>
      <c r="E58" s="259">
        <v>0</v>
      </c>
      <c r="F58" s="260">
        <v>200000</v>
      </c>
      <c r="G58" s="258">
        <v>200000</v>
      </c>
      <c r="H58" s="237">
        <v>150000</v>
      </c>
      <c r="I58" s="237">
        <v>150000</v>
      </c>
      <c r="J58" s="225">
        <f t="shared" si="5"/>
        <v>500000</v>
      </c>
      <c r="K58" s="226" t="s">
        <v>175</v>
      </c>
      <c r="M58" s="57" t="s">
        <v>55</v>
      </c>
    </row>
    <row r="59" spans="1:13" ht="12">
      <c r="A59" s="219" t="s">
        <v>436</v>
      </c>
      <c r="B59" s="324" t="s">
        <v>304</v>
      </c>
      <c r="C59" s="219" t="s">
        <v>202</v>
      </c>
      <c r="D59" s="258">
        <v>0</v>
      </c>
      <c r="E59" s="259">
        <v>0</v>
      </c>
      <c r="F59" s="260">
        <v>150000</v>
      </c>
      <c r="G59" s="258">
        <v>150000</v>
      </c>
      <c r="H59" s="237">
        <v>120000</v>
      </c>
      <c r="I59" s="237">
        <v>120000</v>
      </c>
      <c r="J59" s="225">
        <f>G59+H59+I59</f>
        <v>390000</v>
      </c>
      <c r="K59" s="226" t="s">
        <v>175</v>
      </c>
      <c r="M59" s="57" t="s">
        <v>55</v>
      </c>
    </row>
    <row r="60" spans="1:13" ht="12">
      <c r="A60" s="219" t="s">
        <v>437</v>
      </c>
      <c r="B60" s="324" t="s">
        <v>305</v>
      </c>
      <c r="C60" s="219" t="s">
        <v>202</v>
      </c>
      <c r="D60" s="258">
        <v>0</v>
      </c>
      <c r="E60" s="259">
        <v>0</v>
      </c>
      <c r="F60" s="260">
        <v>300000</v>
      </c>
      <c r="G60" s="258">
        <v>300000</v>
      </c>
      <c r="H60" s="237">
        <v>120000</v>
      </c>
      <c r="I60" s="237">
        <v>120000</v>
      </c>
      <c r="J60" s="225">
        <f>G60+H60+I60</f>
        <v>540000</v>
      </c>
      <c r="K60" s="226" t="s">
        <v>175</v>
      </c>
      <c r="M60" s="57" t="s">
        <v>55</v>
      </c>
    </row>
    <row r="61" spans="1:13" ht="12">
      <c r="A61" s="219" t="s">
        <v>438</v>
      </c>
      <c r="B61" s="324" t="s">
        <v>306</v>
      </c>
      <c r="C61" s="219" t="s">
        <v>264</v>
      </c>
      <c r="D61" s="258">
        <v>0</v>
      </c>
      <c r="E61" s="259">
        <v>0</v>
      </c>
      <c r="F61" s="260">
        <v>150000</v>
      </c>
      <c r="G61" s="258">
        <v>150000</v>
      </c>
      <c r="H61" s="237">
        <v>150000</v>
      </c>
      <c r="I61" s="237">
        <v>150000</v>
      </c>
      <c r="J61" s="225">
        <f>G61+H61+I61</f>
        <v>450000</v>
      </c>
      <c r="K61" s="226" t="s">
        <v>175</v>
      </c>
      <c r="M61" s="57" t="s">
        <v>55</v>
      </c>
    </row>
    <row r="62" spans="1:13" ht="12">
      <c r="A62" s="219" t="s">
        <v>439</v>
      </c>
      <c r="B62" s="324" t="s">
        <v>307</v>
      </c>
      <c r="C62" s="219" t="s">
        <v>291</v>
      </c>
      <c r="D62" s="258">
        <v>0</v>
      </c>
      <c r="E62" s="259">
        <v>0</v>
      </c>
      <c r="F62" s="260">
        <v>200000</v>
      </c>
      <c r="G62" s="258">
        <v>200000</v>
      </c>
      <c r="H62" s="237">
        <v>0</v>
      </c>
      <c r="I62" s="237">
        <v>0</v>
      </c>
      <c r="J62" s="225">
        <f>G62+H62+I62</f>
        <v>200000</v>
      </c>
      <c r="K62" s="226" t="s">
        <v>175</v>
      </c>
      <c r="M62" s="47" t="s">
        <v>56</v>
      </c>
    </row>
    <row r="63" spans="1:12" ht="15">
      <c r="A63" s="232"/>
      <c r="B63" s="232" t="s">
        <v>172</v>
      </c>
      <c r="C63" s="261"/>
      <c r="D63" s="255">
        <f>SUM(D62:D62)</f>
        <v>0</v>
      </c>
      <c r="E63" s="255">
        <f>SUM(E52:E62)</f>
        <v>0</v>
      </c>
      <c r="F63" s="256">
        <f>SUM(F52:F62)</f>
        <v>3450000</v>
      </c>
      <c r="G63" s="255">
        <f>SUM(G52:G62)</f>
        <v>3450000</v>
      </c>
      <c r="H63" s="255">
        <f>SUM(H52:H62)</f>
        <v>2550000</v>
      </c>
      <c r="I63" s="255">
        <f>SUM(I52:I62)</f>
        <v>2550000</v>
      </c>
      <c r="J63" s="230">
        <f>G63+H63+I63</f>
        <v>8550000</v>
      </c>
      <c r="K63" s="247"/>
      <c r="L63" s="253"/>
    </row>
    <row r="64" spans="1:13" s="209" customFormat="1" ht="27" customHeight="1">
      <c r="A64" s="400" t="s">
        <v>308</v>
      </c>
      <c r="B64" s="401"/>
      <c r="C64" s="401"/>
      <c r="D64" s="303"/>
      <c r="E64" s="302"/>
      <c r="F64" s="302"/>
      <c r="G64" s="303"/>
      <c r="H64" s="304"/>
      <c r="I64" s="304"/>
      <c r="J64" s="296" t="s">
        <v>103</v>
      </c>
      <c r="K64" s="297"/>
      <c r="L64" s="208"/>
      <c r="M64" s="208"/>
    </row>
    <row r="65" spans="1:13" s="209" customFormat="1" ht="12.75">
      <c r="A65" s="219" t="s">
        <v>440</v>
      </c>
      <c r="B65" s="329" t="s">
        <v>404</v>
      </c>
      <c r="C65" s="219" t="s">
        <v>203</v>
      </c>
      <c r="D65" s="239">
        <v>2000000</v>
      </c>
      <c r="E65" s="222">
        <v>0</v>
      </c>
      <c r="F65" s="223">
        <v>0</v>
      </c>
      <c r="G65" s="224">
        <v>0</v>
      </c>
      <c r="H65" s="224">
        <v>0</v>
      </c>
      <c r="I65" s="224">
        <v>0</v>
      </c>
      <c r="J65" s="225">
        <f>G65+H65+I65</f>
        <v>0</v>
      </c>
      <c r="K65" s="226" t="s">
        <v>405</v>
      </c>
      <c r="L65" s="254"/>
      <c r="M65" s="57" t="s">
        <v>57</v>
      </c>
    </row>
    <row r="66" spans="1:13" s="209" customFormat="1" ht="12.75">
      <c r="A66" s="262"/>
      <c r="B66" s="263" t="s">
        <v>172</v>
      </c>
      <c r="C66" s="217"/>
      <c r="D66" s="246">
        <f aca="true" t="shared" si="6" ref="D66:I66">SUM(D65:D65)</f>
        <v>2000000</v>
      </c>
      <c r="E66" s="264">
        <f t="shared" si="6"/>
        <v>0</v>
      </c>
      <c r="F66" s="234">
        <f t="shared" si="6"/>
        <v>0</v>
      </c>
      <c r="G66" s="246">
        <f t="shared" si="6"/>
        <v>0</v>
      </c>
      <c r="H66" s="246">
        <f t="shared" si="6"/>
        <v>0</v>
      </c>
      <c r="I66" s="246">
        <f t="shared" si="6"/>
        <v>0</v>
      </c>
      <c r="J66" s="230">
        <f>G66+H66+I66</f>
        <v>0</v>
      </c>
      <c r="K66" s="217"/>
      <c r="L66" s="253"/>
      <c r="M66" s="208"/>
    </row>
    <row r="67" spans="1:11" ht="24" customHeight="1">
      <c r="A67" s="400" t="s">
        <v>309</v>
      </c>
      <c r="B67" s="401"/>
      <c r="C67" s="401"/>
      <c r="D67" s="303"/>
      <c r="E67" s="302"/>
      <c r="F67" s="302"/>
      <c r="G67" s="303"/>
      <c r="H67" s="305"/>
      <c r="I67" s="294"/>
      <c r="J67" s="296" t="s">
        <v>103</v>
      </c>
      <c r="K67" s="297"/>
    </row>
    <row r="68" spans="1:13" ht="12">
      <c r="A68" s="219"/>
      <c r="B68" s="220"/>
      <c r="C68" s="219" t="s">
        <v>199</v>
      </c>
      <c r="D68" s="174">
        <v>250000</v>
      </c>
      <c r="E68" s="372">
        <v>0</v>
      </c>
      <c r="F68" s="373">
        <v>0</v>
      </c>
      <c r="G68" s="374">
        <v>0</v>
      </c>
      <c r="H68" s="375">
        <v>0</v>
      </c>
      <c r="I68" s="376">
        <v>0</v>
      </c>
      <c r="J68" s="377">
        <f>G68+H68+I68</f>
        <v>0</v>
      </c>
      <c r="K68" s="226" t="s">
        <v>175</v>
      </c>
      <c r="M68" s="57" t="s">
        <v>57</v>
      </c>
    </row>
    <row r="69" spans="1:12" ht="15">
      <c r="A69" s="232"/>
      <c r="B69" s="232" t="s">
        <v>172</v>
      </c>
      <c r="C69" s="232"/>
      <c r="D69" s="175">
        <f aca="true" t="shared" si="7" ref="D69:I69">SUM(D68:D68)</f>
        <v>250000</v>
      </c>
      <c r="E69" s="378">
        <f t="shared" si="7"/>
        <v>0</v>
      </c>
      <c r="F69" s="379">
        <f t="shared" si="7"/>
        <v>0</v>
      </c>
      <c r="G69" s="378">
        <f t="shared" si="7"/>
        <v>0</v>
      </c>
      <c r="H69" s="378">
        <f t="shared" si="7"/>
        <v>0</v>
      </c>
      <c r="I69" s="378">
        <f t="shared" si="7"/>
        <v>0</v>
      </c>
      <c r="J69" s="380">
        <f>G69+H69+I69</f>
        <v>0</v>
      </c>
      <c r="K69" s="247"/>
      <c r="L69" s="253"/>
    </row>
    <row r="70" spans="1:11" ht="29.25" customHeight="1">
      <c r="A70" s="400" t="s">
        <v>322</v>
      </c>
      <c r="B70" s="401"/>
      <c r="C70" s="401"/>
      <c r="D70" s="303"/>
      <c r="E70" s="302"/>
      <c r="F70" s="302"/>
      <c r="G70" s="303"/>
      <c r="H70" s="305"/>
      <c r="I70" s="294"/>
      <c r="J70" s="296" t="s">
        <v>103</v>
      </c>
      <c r="K70" s="297"/>
    </row>
    <row r="71" spans="1:13" ht="12">
      <c r="A71" s="219" t="s">
        <v>204</v>
      </c>
      <c r="B71" s="324" t="s">
        <v>184</v>
      </c>
      <c r="C71" s="219" t="s">
        <v>202</v>
      </c>
      <c r="D71" s="258">
        <v>0</v>
      </c>
      <c r="E71" s="259">
        <v>0</v>
      </c>
      <c r="F71" s="260">
        <v>800000</v>
      </c>
      <c r="G71" s="258">
        <v>800000</v>
      </c>
      <c r="H71" s="237">
        <v>620000</v>
      </c>
      <c r="I71" s="237">
        <v>630000</v>
      </c>
      <c r="J71" s="225">
        <f>G71+H71+I71</f>
        <v>2050000</v>
      </c>
      <c r="K71" s="226" t="s">
        <v>175</v>
      </c>
      <c r="M71" s="47" t="s">
        <v>62</v>
      </c>
    </row>
    <row r="72" spans="1:12" ht="15">
      <c r="A72" s="232"/>
      <c r="B72" s="232" t="s">
        <v>172</v>
      </c>
      <c r="C72" s="232"/>
      <c r="D72" s="175" t="e">
        <f>SUM(#REF!)</f>
        <v>#REF!</v>
      </c>
      <c r="E72" s="378">
        <f aca="true" t="shared" si="8" ref="E72:J72">SUM(E71)</f>
        <v>0</v>
      </c>
      <c r="F72" s="381">
        <f t="shared" si="8"/>
        <v>800000</v>
      </c>
      <c r="G72" s="382">
        <f t="shared" si="8"/>
        <v>800000</v>
      </c>
      <c r="H72" s="382">
        <f t="shared" si="8"/>
        <v>620000</v>
      </c>
      <c r="I72" s="382">
        <f t="shared" si="8"/>
        <v>630000</v>
      </c>
      <c r="J72" s="383">
        <f t="shared" si="8"/>
        <v>2050000</v>
      </c>
      <c r="K72" s="247"/>
      <c r="L72" s="253"/>
    </row>
    <row r="73" spans="1:11" ht="29.25" customHeight="1">
      <c r="A73" s="400" t="s">
        <v>406</v>
      </c>
      <c r="B73" s="401"/>
      <c r="C73" s="401"/>
      <c r="D73" s="303"/>
      <c r="E73" s="302"/>
      <c r="F73" s="302"/>
      <c r="G73" s="303"/>
      <c r="H73" s="305"/>
      <c r="I73" s="294"/>
      <c r="J73" s="296" t="s">
        <v>103</v>
      </c>
      <c r="K73" s="297"/>
    </row>
    <row r="74" spans="1:13" ht="12">
      <c r="A74" s="219" t="s">
        <v>407</v>
      </c>
      <c r="B74" s="324" t="s">
        <v>408</v>
      </c>
      <c r="C74" s="219" t="s">
        <v>198</v>
      </c>
      <c r="D74" s="258">
        <v>0</v>
      </c>
      <c r="E74" s="259">
        <v>0</v>
      </c>
      <c r="F74" s="260">
        <v>2000000</v>
      </c>
      <c r="G74" s="258">
        <v>2000000</v>
      </c>
      <c r="H74" s="237">
        <v>0</v>
      </c>
      <c r="I74" s="237">
        <v>0</v>
      </c>
      <c r="J74" s="225">
        <f>G74+H74+I74</f>
        <v>2000000</v>
      </c>
      <c r="K74" s="226" t="s">
        <v>175</v>
      </c>
      <c r="M74" s="47" t="s">
        <v>64</v>
      </c>
    </row>
    <row r="75" spans="1:12" ht="15">
      <c r="A75" s="232"/>
      <c r="B75" s="232" t="s">
        <v>172</v>
      </c>
      <c r="C75" s="232"/>
      <c r="D75" s="175" t="e">
        <f>SUM(#REF!)</f>
        <v>#REF!</v>
      </c>
      <c r="E75" s="378">
        <f aca="true" t="shared" si="9" ref="E75:J75">SUM(E74)</f>
        <v>0</v>
      </c>
      <c r="F75" s="381">
        <f t="shared" si="9"/>
        <v>2000000</v>
      </c>
      <c r="G75" s="382">
        <f t="shared" si="9"/>
        <v>2000000</v>
      </c>
      <c r="H75" s="382">
        <f t="shared" si="9"/>
        <v>0</v>
      </c>
      <c r="I75" s="382">
        <f t="shared" si="9"/>
        <v>0</v>
      </c>
      <c r="J75" s="383">
        <f t="shared" si="9"/>
        <v>2000000</v>
      </c>
      <c r="K75" s="247"/>
      <c r="L75" s="253"/>
    </row>
    <row r="76" spans="1:12" ht="15">
      <c r="A76" s="283"/>
      <c r="B76" s="283"/>
      <c r="C76" s="283"/>
      <c r="D76" s="332"/>
      <c r="E76" s="384"/>
      <c r="F76" s="385"/>
      <c r="G76" s="384"/>
      <c r="H76" s="384"/>
      <c r="I76" s="384"/>
      <c r="J76" s="386"/>
      <c r="K76" s="333"/>
      <c r="L76" s="253"/>
    </row>
    <row r="77" spans="1:13" s="209" customFormat="1" ht="12.75">
      <c r="A77" s="284"/>
      <c r="B77" s="211"/>
      <c r="C77" s="284"/>
      <c r="D77" s="285"/>
      <c r="E77" s="286"/>
      <c r="F77" s="287"/>
      <c r="G77" s="285"/>
      <c r="H77" s="288"/>
      <c r="I77" s="288"/>
      <c r="J77" s="289"/>
      <c r="K77" s="284"/>
      <c r="L77" s="208"/>
      <c r="M77" s="208"/>
    </row>
    <row r="78" spans="1:13" s="269" customFormat="1" ht="10.5" thickBot="1">
      <c r="A78" s="266"/>
      <c r="B78" s="267" t="s">
        <v>310</v>
      </c>
      <c r="C78" s="266"/>
      <c r="D78" s="310" t="e">
        <f>+D10+D27+D34+D47+D50+D66+D69+#REF!+#REF!+D37+D63</f>
        <v>#REF!</v>
      </c>
      <c r="E78" s="311">
        <f aca="true" t="shared" si="10" ref="E78:J78">E10+E27+E34+E37+E47+E50+E63+E66+E69+E72+E75</f>
        <v>16485000</v>
      </c>
      <c r="F78" s="312">
        <f t="shared" si="10"/>
        <v>12820000</v>
      </c>
      <c r="G78" s="313">
        <f t="shared" si="10"/>
        <v>29305000</v>
      </c>
      <c r="H78" s="313">
        <f t="shared" si="10"/>
        <v>7520000</v>
      </c>
      <c r="I78" s="313">
        <f t="shared" si="10"/>
        <v>5530000</v>
      </c>
      <c r="J78" s="313">
        <f t="shared" si="10"/>
        <v>42355000</v>
      </c>
      <c r="K78" s="266"/>
      <c r="L78" s="268"/>
      <c r="M78" s="268"/>
    </row>
    <row r="79" spans="1:13" s="269" customFormat="1" ht="11.25" thickBot="1" thickTop="1">
      <c r="A79" s="306"/>
      <c r="B79" s="307"/>
      <c r="C79" s="306"/>
      <c r="D79" s="308"/>
      <c r="E79" s="309"/>
      <c r="F79" s="309"/>
      <c r="G79" s="308"/>
      <c r="H79" s="308"/>
      <c r="I79" s="308"/>
      <c r="J79" s="308"/>
      <c r="K79" s="306"/>
      <c r="L79" s="268"/>
      <c r="M79" s="268"/>
    </row>
    <row r="80" spans="6:10" ht="12">
      <c r="F80" s="270" t="s">
        <v>103</v>
      </c>
      <c r="G80" s="205" t="s">
        <v>396</v>
      </c>
      <c r="H80" s="206" t="s">
        <v>175</v>
      </c>
      <c r="I80" s="271"/>
      <c r="J80" s="272">
        <f>J78-J81</f>
        <v>41605000</v>
      </c>
    </row>
    <row r="81" spans="6:10" ht="12.75" thickBot="1">
      <c r="F81" s="270"/>
      <c r="H81" s="273" t="s">
        <v>409</v>
      </c>
      <c r="I81" s="271"/>
      <c r="J81" s="274">
        <v>750000</v>
      </c>
    </row>
    <row r="82" spans="6:10" ht="12">
      <c r="F82" s="270"/>
      <c r="H82" s="273"/>
      <c r="I82" s="271"/>
      <c r="J82" s="276"/>
    </row>
    <row r="83" spans="1:11" ht="12.75">
      <c r="A83" s="275" t="s">
        <v>205</v>
      </c>
      <c r="F83" s="270"/>
      <c r="H83" s="271"/>
      <c r="I83" s="271"/>
      <c r="J83" s="276"/>
      <c r="K83" s="277"/>
    </row>
    <row r="84" spans="1:11" ht="12">
      <c r="A84" s="278" t="s">
        <v>311</v>
      </c>
      <c r="B84" s="203" t="s">
        <v>313</v>
      </c>
      <c r="E84" s="203" t="s">
        <v>291</v>
      </c>
      <c r="F84" s="270"/>
      <c r="G84" s="205">
        <f>G43+G62</f>
        <v>400000</v>
      </c>
      <c r="H84" s="205">
        <f>H43+H62</f>
        <v>0</v>
      </c>
      <c r="I84" s="205">
        <f>I43+I62</f>
        <v>0</v>
      </c>
      <c r="J84" s="276"/>
      <c r="K84" s="277"/>
    </row>
    <row r="85" spans="1:11" ht="12">
      <c r="A85" s="278" t="s">
        <v>312</v>
      </c>
      <c r="B85" s="203" t="s">
        <v>314</v>
      </c>
      <c r="E85" s="203" t="s">
        <v>264</v>
      </c>
      <c r="F85" s="270"/>
      <c r="G85" s="205">
        <f>G41+G54+G61</f>
        <v>1750000</v>
      </c>
      <c r="H85" s="205">
        <f>H41+H54+H61</f>
        <v>650000</v>
      </c>
      <c r="I85" s="205">
        <f>I41+I54+I61</f>
        <v>650000</v>
      </c>
      <c r="J85" s="276"/>
      <c r="K85" s="277"/>
    </row>
    <row r="86" spans="1:10" ht="12">
      <c r="A86" s="278" t="s">
        <v>206</v>
      </c>
      <c r="B86" s="203" t="s">
        <v>244</v>
      </c>
      <c r="D86" s="280" t="e">
        <f>#REF!+#REF!+#REF!+#REF!</f>
        <v>#REF!</v>
      </c>
      <c r="E86" s="279" t="s">
        <v>203</v>
      </c>
      <c r="G86" s="330">
        <f>G26+G39+G40+G42+G44+G45+G65</f>
        <v>5100000</v>
      </c>
      <c r="H86" s="330">
        <f>H26+H39+H40+H42+H44+H45+H65</f>
        <v>2000000</v>
      </c>
      <c r="I86" s="330">
        <f>I26+I39+I40+I42+I44+I45+I65</f>
        <v>0</v>
      </c>
      <c r="J86" s="203"/>
    </row>
    <row r="87" spans="1:10" ht="12">
      <c r="A87" s="278" t="s">
        <v>207</v>
      </c>
      <c r="B87" s="203" t="s">
        <v>315</v>
      </c>
      <c r="D87" s="280" t="e">
        <f>#REF!+#REF!+D30+D41</f>
        <v>#REF!</v>
      </c>
      <c r="E87" s="279" t="s">
        <v>199</v>
      </c>
      <c r="G87" s="330">
        <f>G29+G30+G31+G32+G68+G33</f>
        <v>3270000</v>
      </c>
      <c r="H87" s="330">
        <f>H29+H30+H31+H32+H68</f>
        <v>2350000</v>
      </c>
      <c r="I87" s="330">
        <f>I29+I30+I31+I32+I68</f>
        <v>2350000</v>
      </c>
      <c r="J87" s="279"/>
    </row>
    <row r="88" spans="1:12" ht="12">
      <c r="A88" s="278" t="s">
        <v>208</v>
      </c>
      <c r="B88" s="203" t="s">
        <v>245</v>
      </c>
      <c r="D88" s="280" t="e">
        <f>D9+D12+D14+D49+D65+#REF!+#REF!+#REF!</f>
        <v>#REF!</v>
      </c>
      <c r="E88" s="279" t="s">
        <v>198</v>
      </c>
      <c r="G88" s="330">
        <f>G74</f>
        <v>2000000</v>
      </c>
      <c r="H88" s="330">
        <f>H36</f>
        <v>0</v>
      </c>
      <c r="I88" s="330">
        <f>I36</f>
        <v>0</v>
      </c>
      <c r="J88" s="279"/>
      <c r="L88" s="314"/>
    </row>
    <row r="89" spans="1:10" ht="12">
      <c r="A89" s="278" t="s">
        <v>209</v>
      </c>
      <c r="B89" s="203" t="s">
        <v>316</v>
      </c>
      <c r="D89" s="280" t="e">
        <f>D68+#REF!+#REF!</f>
        <v>#REF!</v>
      </c>
      <c r="E89" s="279" t="s">
        <v>202</v>
      </c>
      <c r="G89" s="330">
        <f>G52+G53+G55+G56+G57+G58+G59+G60+G71</f>
        <v>3300000</v>
      </c>
      <c r="H89" s="330">
        <f>H52+H53+H55+H56+H57+H58+H59+H60+H71</f>
        <v>2520000</v>
      </c>
      <c r="I89" s="330">
        <f>I52+I53+I55+I56+I57+I58+I59+I60+I71</f>
        <v>2530000</v>
      </c>
      <c r="J89" s="279"/>
    </row>
    <row r="90" spans="1:10" ht="12">
      <c r="A90" s="278" t="s">
        <v>210</v>
      </c>
      <c r="B90" s="203" t="s">
        <v>246</v>
      </c>
      <c r="D90" s="280"/>
      <c r="E90" s="279" t="s">
        <v>200</v>
      </c>
      <c r="G90" s="330">
        <f>G46</f>
        <v>1000000</v>
      </c>
      <c r="H90" s="330">
        <f>H9+H46</f>
        <v>0</v>
      </c>
      <c r="I90" s="330">
        <f>I9+I46</f>
        <v>0</v>
      </c>
      <c r="J90" s="279"/>
    </row>
    <row r="91" spans="1:10" ht="12">
      <c r="A91" s="278" t="s">
        <v>211</v>
      </c>
      <c r="B91" s="203" t="s">
        <v>317</v>
      </c>
      <c r="D91" s="280">
        <f>0</f>
        <v>0</v>
      </c>
      <c r="E91" s="279" t="s">
        <v>264</v>
      </c>
      <c r="G91" s="330">
        <f>G12+G13+G14+G15+G16+G17+G18+G19+G20+G21+G22+G23+G24+G25</f>
        <v>9485000</v>
      </c>
      <c r="H91" s="330">
        <f>H12+H13+H14+H15+H16+H17+H18+H19+H20+H21+H22+H23+H24+H25</f>
        <v>0</v>
      </c>
      <c r="I91" s="330">
        <f>I12+I13+I14+I15+I16+I17+I18+I19+I20+I21+I22+I23+I24+I25</f>
        <v>0</v>
      </c>
      <c r="J91" s="279"/>
    </row>
    <row r="92" spans="1:10" ht="12">
      <c r="A92" s="278" t="s">
        <v>212</v>
      </c>
      <c r="B92" s="203" t="s">
        <v>58</v>
      </c>
      <c r="D92" s="280">
        <v>0</v>
      </c>
      <c r="E92" s="279" t="s">
        <v>200</v>
      </c>
      <c r="G92" s="330">
        <f>G9</f>
        <v>1000000</v>
      </c>
      <c r="H92" s="330">
        <f>H9</f>
        <v>0</v>
      </c>
      <c r="I92" s="330">
        <f>I9</f>
        <v>0</v>
      </c>
      <c r="J92" s="279"/>
    </row>
    <row r="93" spans="1:10" ht="12">
      <c r="A93" s="278" t="s">
        <v>213</v>
      </c>
      <c r="B93" s="203" t="s">
        <v>241</v>
      </c>
      <c r="D93" s="280">
        <f>0</f>
        <v>0</v>
      </c>
      <c r="E93" s="279" t="s">
        <v>198</v>
      </c>
      <c r="G93" s="330">
        <f>G49</f>
        <v>2000000</v>
      </c>
      <c r="H93" s="330">
        <f>H49</f>
        <v>0</v>
      </c>
      <c r="I93" s="330">
        <f>I49</f>
        <v>0</v>
      </c>
      <c r="J93" s="279"/>
    </row>
    <row r="94" spans="4:10" ht="12">
      <c r="D94" s="280"/>
      <c r="E94" s="279"/>
      <c r="G94" s="330"/>
      <c r="H94" s="330"/>
      <c r="I94" s="330"/>
      <c r="J94" s="279"/>
    </row>
    <row r="95" spans="3:10" ht="12.75" thickBot="1">
      <c r="C95" s="279"/>
      <c r="D95" s="281" t="e">
        <f>SUM(D86:D94)</f>
        <v>#REF!</v>
      </c>
      <c r="E95" s="279"/>
      <c r="G95" s="331">
        <f>SUM(G84:G94)</f>
        <v>29305000</v>
      </c>
      <c r="H95" s="331">
        <f>SUM(H84:H94)</f>
        <v>7520000</v>
      </c>
      <c r="I95" s="331">
        <f>SUM(I84:I94)</f>
        <v>5530000</v>
      </c>
      <c r="J95" s="279"/>
    </row>
    <row r="96" spans="3:10" ht="12.75" thickTop="1">
      <c r="C96" s="279"/>
      <c r="D96" s="282"/>
      <c r="E96" s="279"/>
      <c r="G96" s="279"/>
      <c r="H96" s="279"/>
      <c r="I96" s="279"/>
      <c r="J96" s="279"/>
    </row>
    <row r="97" spans="3:10" ht="12">
      <c r="C97" s="279" t="s">
        <v>214</v>
      </c>
      <c r="D97" s="279">
        <v>15175</v>
      </c>
      <c r="E97" s="279"/>
      <c r="G97" s="279">
        <v>15174</v>
      </c>
      <c r="H97" s="279">
        <v>15174</v>
      </c>
      <c r="I97" s="279">
        <v>15174</v>
      </c>
      <c r="J97" s="279"/>
    </row>
    <row r="99" ht="12.75">
      <c r="B99" s="275" t="s">
        <v>323</v>
      </c>
    </row>
    <row r="102" spans="2:9" ht="12">
      <c r="B102" s="57" t="s">
        <v>55</v>
      </c>
      <c r="G102" s="205">
        <f>G52+G53+G54+G55+G56+G57+G58+G59+G60+G61+G41</f>
        <v>4250000</v>
      </c>
      <c r="H102" s="205">
        <f>H52+H53+H54+H55+H56+H57+H58+H59+H60+H61+H41</f>
        <v>2550000</v>
      </c>
      <c r="I102" s="205">
        <f>I52+I53+I54+I55+I56+I57+I58+I59+I60+I61+I41</f>
        <v>2550000</v>
      </c>
    </row>
    <row r="103" spans="2:9" ht="12">
      <c r="B103" s="47" t="s">
        <v>56</v>
      </c>
      <c r="G103" s="205">
        <f>G39+G40+G42+G43+G44+G45+G46+G62</f>
        <v>6350000</v>
      </c>
      <c r="H103" s="205">
        <f>H39+H40+H42+H43+H44+H45+H46+H62</f>
        <v>2000000</v>
      </c>
      <c r="I103" s="205">
        <f>I39+I40+I42+I43+I44+I45+I46+I62</f>
        <v>0</v>
      </c>
    </row>
    <row r="104" spans="2:9" ht="12">
      <c r="B104" s="57" t="s">
        <v>57</v>
      </c>
      <c r="G104" s="205">
        <f>G34+G66+G69</f>
        <v>3270000</v>
      </c>
      <c r="H104" s="205">
        <f>H34+H66+H69</f>
        <v>2350000</v>
      </c>
      <c r="I104" s="205">
        <f>I34+I66+I69</f>
        <v>2350000</v>
      </c>
    </row>
    <row r="105" spans="2:9" ht="12">
      <c r="B105" s="57" t="s">
        <v>58</v>
      </c>
      <c r="G105" s="205">
        <f>G10</f>
        <v>1000000</v>
      </c>
      <c r="H105" s="205">
        <f>H10</f>
        <v>0</v>
      </c>
      <c r="I105" s="205">
        <f>I10</f>
        <v>0</v>
      </c>
    </row>
    <row r="106" spans="2:9" ht="12">
      <c r="B106" s="57" t="s">
        <v>59</v>
      </c>
      <c r="G106" s="205">
        <v>0</v>
      </c>
      <c r="H106" s="205">
        <v>0</v>
      </c>
      <c r="I106" s="205">
        <v>0</v>
      </c>
    </row>
    <row r="107" spans="2:9" ht="12">
      <c r="B107" s="57" t="s">
        <v>60</v>
      </c>
      <c r="G107" s="205">
        <v>0</v>
      </c>
      <c r="H107" s="205">
        <v>0</v>
      </c>
      <c r="I107" s="205">
        <v>0</v>
      </c>
    </row>
    <row r="108" spans="2:9" ht="12">
      <c r="B108" s="47" t="s">
        <v>61</v>
      </c>
      <c r="G108" s="205">
        <f>G27</f>
        <v>9635000</v>
      </c>
      <c r="H108" s="205">
        <f>H27</f>
        <v>0</v>
      </c>
      <c r="I108" s="205">
        <f>I27</f>
        <v>0</v>
      </c>
    </row>
    <row r="109" spans="2:9" ht="12">
      <c r="B109" s="47" t="s">
        <v>62</v>
      </c>
      <c r="G109" s="205">
        <f>G72</f>
        <v>800000</v>
      </c>
      <c r="H109" s="205">
        <f>H72</f>
        <v>620000</v>
      </c>
      <c r="I109" s="205">
        <f>I72</f>
        <v>630000</v>
      </c>
    </row>
    <row r="110" spans="2:9" ht="12">
      <c r="B110" s="57" t="s">
        <v>63</v>
      </c>
      <c r="G110" s="205">
        <v>0</v>
      </c>
      <c r="H110" s="205">
        <v>0</v>
      </c>
      <c r="I110" s="205">
        <v>0</v>
      </c>
    </row>
    <row r="111" spans="2:9" ht="12">
      <c r="B111" s="57" t="s">
        <v>64</v>
      </c>
      <c r="G111" s="205">
        <f>G74</f>
        <v>2000000</v>
      </c>
      <c r="H111" s="205">
        <v>0</v>
      </c>
      <c r="I111" s="205">
        <v>0</v>
      </c>
    </row>
    <row r="112" spans="2:9" ht="12">
      <c r="B112" s="57" t="s">
        <v>65</v>
      </c>
      <c r="G112" s="205">
        <v>0</v>
      </c>
      <c r="H112" s="205">
        <v>0</v>
      </c>
      <c r="I112" s="205">
        <v>0</v>
      </c>
    </row>
    <row r="113" spans="2:9" ht="12">
      <c r="B113" s="57" t="s">
        <v>66</v>
      </c>
      <c r="G113" s="205">
        <f>G37</f>
        <v>0</v>
      </c>
      <c r="H113" s="205">
        <f>H37</f>
        <v>0</v>
      </c>
      <c r="I113" s="205">
        <f>I37</f>
        <v>0</v>
      </c>
    </row>
    <row r="114" spans="2:9" ht="12">
      <c r="B114" s="57" t="s">
        <v>67</v>
      </c>
      <c r="G114" s="205">
        <v>0</v>
      </c>
      <c r="H114" s="205">
        <v>0</v>
      </c>
      <c r="I114" s="205">
        <v>0</v>
      </c>
    </row>
    <row r="115" spans="2:9" ht="12">
      <c r="B115" s="57" t="s">
        <v>68</v>
      </c>
      <c r="G115" s="205">
        <v>0</v>
      </c>
      <c r="H115" s="205">
        <v>0</v>
      </c>
      <c r="I115" s="205">
        <v>0</v>
      </c>
    </row>
    <row r="116" spans="2:9" ht="12">
      <c r="B116" s="57" t="s">
        <v>241</v>
      </c>
      <c r="G116" s="205">
        <f>G50</f>
        <v>2000000</v>
      </c>
      <c r="H116" s="205">
        <f>H50</f>
        <v>0</v>
      </c>
      <c r="I116" s="205">
        <f>I50</f>
        <v>0</v>
      </c>
    </row>
    <row r="118" spans="7:9" ht="12">
      <c r="G118" s="387">
        <f>SUM(G102:G117)</f>
        <v>29305000</v>
      </c>
      <c r="H118" s="387">
        <f>SUM(H102:H117)</f>
        <v>7520000</v>
      </c>
      <c r="I118" s="387">
        <f>SUM(I102:I117)</f>
        <v>5530000</v>
      </c>
    </row>
  </sheetData>
  <sheetProtection/>
  <mergeCells count="18">
    <mergeCell ref="A48:C48"/>
    <mergeCell ref="A51:E51"/>
    <mergeCell ref="A64:C64"/>
    <mergeCell ref="A67:C67"/>
    <mergeCell ref="A70:C70"/>
    <mergeCell ref="A73:C73"/>
    <mergeCell ref="A38:E38"/>
    <mergeCell ref="A6:A7"/>
    <mergeCell ref="B6:B7"/>
    <mergeCell ref="C6:C7"/>
    <mergeCell ref="D6:D7"/>
    <mergeCell ref="E6:I6"/>
    <mergeCell ref="J6:J7"/>
    <mergeCell ref="K6:K7"/>
    <mergeCell ref="A8:C8"/>
    <mergeCell ref="A11:C11"/>
    <mergeCell ref="A28:C28"/>
    <mergeCell ref="A35:C35"/>
  </mergeCells>
  <printOptions/>
  <pageMargins left="0.4330708661417323" right="0.11811023622047245" top="0.4724409448818898" bottom="0.4330708661417323" header="0.31496062992125984" footer="0.31496062992125984"/>
  <pageSetup fitToHeight="3" horizontalDpi="600" verticalDpi="600" orientation="landscape" r:id="rId3"/>
  <rowBreaks count="2" manualBreakCount="2">
    <brk id="27" max="10" man="1"/>
    <brk id="5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SheetLayoutView="75" zoomScalePageLayoutView="0" workbookViewId="0" topLeftCell="A1">
      <selection activeCell="C11" sqref="C11"/>
    </sheetView>
  </sheetViews>
  <sheetFormatPr defaultColWidth="9.140625" defaultRowHeight="12.75"/>
  <cols>
    <col min="1" max="1" width="42.140625" style="0" customWidth="1"/>
    <col min="2" max="2" width="16.28125" style="30" customWidth="1"/>
    <col min="3" max="3" width="16.140625" style="30" customWidth="1"/>
    <col min="4" max="4" width="14.7109375" style="30" customWidth="1"/>
    <col min="5" max="5" width="13.7109375" style="30" customWidth="1"/>
    <col min="6" max="6" width="15.140625" style="30" customWidth="1"/>
    <col min="7" max="7" width="16.57421875" style="30" customWidth="1"/>
    <col min="8" max="8" width="17.57421875" style="30" customWidth="1"/>
    <col min="10" max="10" width="26.140625" style="0" bestFit="1" customWidth="1"/>
    <col min="11" max="17" width="10.7109375" style="30" customWidth="1"/>
  </cols>
  <sheetData>
    <row r="1" spans="1:8" ht="12.75">
      <c r="A1" s="64"/>
      <c r="B1" s="1" t="s">
        <v>37</v>
      </c>
      <c r="C1" s="21" t="s">
        <v>1</v>
      </c>
      <c r="D1" s="68"/>
      <c r="E1" s="69"/>
      <c r="F1" s="65" t="s">
        <v>81</v>
      </c>
      <c r="G1" s="66"/>
      <c r="H1" s="67"/>
    </row>
    <row r="2" spans="1:8" ht="12.75">
      <c r="A2" s="9" t="s">
        <v>33</v>
      </c>
      <c r="B2" s="131" t="s">
        <v>17</v>
      </c>
      <c r="C2" s="70" t="s">
        <v>18</v>
      </c>
      <c r="D2" s="133"/>
      <c r="E2" s="61"/>
      <c r="F2" s="62" t="s">
        <v>5</v>
      </c>
      <c r="G2" s="9" t="s">
        <v>2</v>
      </c>
      <c r="H2" s="9" t="s">
        <v>3</v>
      </c>
    </row>
    <row r="3" spans="1:8" ht="12.75">
      <c r="A3" s="3"/>
      <c r="B3" s="25"/>
      <c r="C3" s="27"/>
      <c r="D3" s="26"/>
      <c r="E3" s="22"/>
      <c r="F3" s="135" t="s">
        <v>89</v>
      </c>
      <c r="G3" s="135" t="s">
        <v>185</v>
      </c>
      <c r="H3" s="135" t="s">
        <v>227</v>
      </c>
    </row>
    <row r="4" spans="1:8" ht="25.5">
      <c r="A4" s="9" t="s">
        <v>20</v>
      </c>
      <c r="B4" s="12" t="s">
        <v>38</v>
      </c>
      <c r="C4" s="179" t="s">
        <v>39</v>
      </c>
      <c r="D4" s="179" t="s">
        <v>7</v>
      </c>
      <c r="E4" s="180" t="s">
        <v>8</v>
      </c>
      <c r="F4" s="134" t="s">
        <v>4</v>
      </c>
      <c r="G4" s="10" t="s">
        <v>4</v>
      </c>
      <c r="H4" s="10" t="s">
        <v>4</v>
      </c>
    </row>
    <row r="5" spans="1:8" ht="12.75">
      <c r="A5" s="3"/>
      <c r="B5" s="11" t="s">
        <v>186</v>
      </c>
      <c r="C5" s="9" t="s">
        <v>186</v>
      </c>
      <c r="D5" s="9" t="s">
        <v>186</v>
      </c>
      <c r="E5" s="9" t="s">
        <v>186</v>
      </c>
      <c r="F5" s="9" t="s">
        <v>186</v>
      </c>
      <c r="G5" s="9" t="s">
        <v>186</v>
      </c>
      <c r="H5" s="9" t="s">
        <v>186</v>
      </c>
    </row>
    <row r="6" spans="1:10" ht="12.75">
      <c r="A6" s="4"/>
      <c r="B6" s="24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3" t="s">
        <v>14</v>
      </c>
      <c r="H6" s="23" t="s">
        <v>15</v>
      </c>
      <c r="J6" s="39"/>
    </row>
    <row r="7" spans="2:17" ht="12.75">
      <c r="B7" s="37"/>
      <c r="C7" s="37"/>
      <c r="D7" s="37"/>
      <c r="E7" s="37"/>
      <c r="F7" s="37"/>
      <c r="G7" s="37"/>
      <c r="H7" s="37"/>
      <c r="K7" s="31"/>
      <c r="L7" s="32"/>
      <c r="M7" s="32"/>
      <c r="N7" s="31"/>
      <c r="O7" s="31"/>
      <c r="P7" s="31"/>
      <c r="Q7" s="31"/>
    </row>
    <row r="8" spans="1:8" ht="12">
      <c r="A8" s="8" t="s">
        <v>243</v>
      </c>
      <c r="B8" s="317">
        <v>5994064</v>
      </c>
      <c r="C8" s="38">
        <v>6671631</v>
      </c>
      <c r="D8" s="38">
        <v>7021631</v>
      </c>
      <c r="E8" s="38">
        <v>6499118</v>
      </c>
      <c r="F8" s="38">
        <v>8357267.916943401</v>
      </c>
      <c r="G8" s="38">
        <v>9192994.70863774</v>
      </c>
      <c r="H8" s="38">
        <v>10112294.179501519</v>
      </c>
    </row>
    <row r="9" spans="1:8" ht="12">
      <c r="A9" s="8" t="s">
        <v>91</v>
      </c>
      <c r="B9" s="319"/>
      <c r="C9" s="319"/>
      <c r="D9" s="319"/>
      <c r="E9" s="319"/>
      <c r="F9" s="319"/>
      <c r="G9" s="319"/>
      <c r="H9" s="319"/>
    </row>
    <row r="10" spans="1:8" ht="12">
      <c r="A10" s="8" t="s">
        <v>247</v>
      </c>
      <c r="B10" s="80">
        <v>2792439</v>
      </c>
      <c r="C10" s="38">
        <v>4782057</v>
      </c>
      <c r="D10" s="38">
        <v>4282057</v>
      </c>
      <c r="E10" s="38">
        <v>3884918</v>
      </c>
      <c r="F10" s="38">
        <v>5481865.981566668</v>
      </c>
      <c r="G10" s="38">
        <v>6030052.579723335</v>
      </c>
      <c r="H10" s="38">
        <v>6633057.837695669</v>
      </c>
    </row>
    <row r="11" spans="1:8" ht="12">
      <c r="A11" s="8" t="s">
        <v>248</v>
      </c>
      <c r="B11" s="80">
        <v>3979108</v>
      </c>
      <c r="C11" s="38">
        <v>5610320</v>
      </c>
      <c r="D11" s="38">
        <v>5255320</v>
      </c>
      <c r="E11" s="38">
        <v>4375300</v>
      </c>
      <c r="F11" s="38">
        <v>14310141.5108</v>
      </c>
      <c r="G11" s="38">
        <v>15471024.261880001</v>
      </c>
      <c r="H11" s="38">
        <v>17108090.988068003</v>
      </c>
    </row>
    <row r="12" spans="1:8" ht="12">
      <c r="A12" s="19" t="s">
        <v>244</v>
      </c>
      <c r="B12" s="80">
        <v>11176594</v>
      </c>
      <c r="C12" s="38">
        <v>9077151</v>
      </c>
      <c r="D12" s="38">
        <v>8956569</v>
      </c>
      <c r="E12" s="38">
        <v>8339139</v>
      </c>
      <c r="F12" s="38">
        <v>10680184.39065632</v>
      </c>
      <c r="G12" s="38">
        <v>11728402.829721954</v>
      </c>
      <c r="H12" s="38">
        <v>12901243.112694152</v>
      </c>
    </row>
    <row r="13" spans="1:8" ht="12">
      <c r="A13" s="19" t="s">
        <v>92</v>
      </c>
      <c r="B13" s="80"/>
      <c r="C13" s="38"/>
      <c r="D13" s="38"/>
      <c r="E13" s="38"/>
      <c r="F13" s="38"/>
      <c r="G13" s="38"/>
      <c r="H13" s="38"/>
    </row>
    <row r="14" spans="1:8" ht="12">
      <c r="A14" s="19" t="s">
        <v>249</v>
      </c>
      <c r="B14" s="80">
        <v>5820437</v>
      </c>
      <c r="C14" s="38">
        <v>4868581</v>
      </c>
      <c r="D14" s="38">
        <v>4868581</v>
      </c>
      <c r="E14" s="38">
        <v>3044746</v>
      </c>
      <c r="F14" s="38">
        <v>3413850.10763</v>
      </c>
      <c r="G14" s="38">
        <v>3750835.1183930007</v>
      </c>
      <c r="H14" s="38">
        <v>4125918.6302323015</v>
      </c>
    </row>
    <row r="15" spans="1:8" ht="12">
      <c r="A15" s="19" t="s">
        <v>250</v>
      </c>
      <c r="B15" s="80">
        <v>1265793.81</v>
      </c>
      <c r="C15" s="184">
        <v>0</v>
      </c>
      <c r="D15" s="184">
        <v>0</v>
      </c>
      <c r="E15" s="38">
        <v>0</v>
      </c>
      <c r="F15" s="184">
        <v>0</v>
      </c>
      <c r="G15" s="184">
        <v>0</v>
      </c>
      <c r="H15" s="184">
        <v>0</v>
      </c>
    </row>
    <row r="16" spans="1:8" ht="12">
      <c r="A16" s="8" t="s">
        <v>251</v>
      </c>
      <c r="B16" s="80">
        <v>2284311</v>
      </c>
      <c r="C16" s="38">
        <v>3062705</v>
      </c>
      <c r="D16" s="38">
        <v>2681905</v>
      </c>
      <c r="E16" s="38">
        <v>2679406</v>
      </c>
      <c r="F16" s="38">
        <v>2907969.0632571992</v>
      </c>
      <c r="G16" s="38">
        <v>3198765.96958292</v>
      </c>
      <c r="H16" s="38">
        <v>3518642.566541212</v>
      </c>
    </row>
    <row r="17" spans="1:8" ht="12">
      <c r="A17" s="8" t="s">
        <v>245</v>
      </c>
      <c r="B17" s="80">
        <v>25801934</v>
      </c>
      <c r="C17" s="38">
        <v>2926741</v>
      </c>
      <c r="D17" s="38">
        <v>1999769</v>
      </c>
      <c r="E17" s="38">
        <v>1782754</v>
      </c>
      <c r="F17" s="38">
        <v>2169139.52979</v>
      </c>
      <c r="G17" s="38">
        <v>2382753.4827690003</v>
      </c>
      <c r="H17" s="38">
        <v>2621028.8310459005</v>
      </c>
    </row>
    <row r="18" spans="1:17" ht="12.75">
      <c r="A18" s="19" t="s">
        <v>93</v>
      </c>
      <c r="B18" s="80">
        <v>11818312</v>
      </c>
      <c r="C18" s="38">
        <v>11426880</v>
      </c>
      <c r="D18" s="38">
        <v>11264652</v>
      </c>
      <c r="E18" s="38">
        <v>10308745</v>
      </c>
      <c r="F18" s="38">
        <v>11288417.171796616</v>
      </c>
      <c r="G18" s="38">
        <v>12417258.88897628</v>
      </c>
      <c r="H18" s="38">
        <v>13658984.777873907</v>
      </c>
      <c r="J18" s="40"/>
      <c r="K18" s="34"/>
      <c r="L18" s="34"/>
      <c r="M18" s="34"/>
      <c r="N18" s="34"/>
      <c r="O18" s="34"/>
      <c r="P18" s="34"/>
      <c r="Q18" s="34"/>
    </row>
    <row r="19" spans="1:8" ht="12">
      <c r="A19" s="19" t="s">
        <v>246</v>
      </c>
      <c r="B19" s="80"/>
      <c r="C19" s="38"/>
      <c r="D19" s="38"/>
      <c r="E19" s="38"/>
      <c r="F19" s="38"/>
      <c r="G19" s="38"/>
      <c r="H19" s="38"/>
    </row>
    <row r="20" spans="1:8" ht="12">
      <c r="A20" s="19" t="s">
        <v>252</v>
      </c>
      <c r="B20" s="80">
        <v>2156569</v>
      </c>
      <c r="C20" s="38">
        <v>2308285</v>
      </c>
      <c r="D20" s="38">
        <v>2308285</v>
      </c>
      <c r="E20" s="38">
        <v>1784680</v>
      </c>
      <c r="F20" s="38">
        <v>1572886.9462599999</v>
      </c>
      <c r="G20" s="38">
        <v>1730175.6408860001</v>
      </c>
      <c r="H20" s="38">
        <v>1903193.2049746003</v>
      </c>
    </row>
    <row r="21" spans="1:8" ht="12">
      <c r="A21" s="19" t="s">
        <v>253</v>
      </c>
      <c r="B21" s="80">
        <v>5897032</v>
      </c>
      <c r="C21" s="83">
        <v>10088128</v>
      </c>
      <c r="D21" s="83">
        <v>9766128</v>
      </c>
      <c r="E21" s="38">
        <v>7608973</v>
      </c>
      <c r="F21" s="83">
        <v>10637073.403951997</v>
      </c>
      <c r="G21" s="83">
        <v>11700780.7443472</v>
      </c>
      <c r="H21" s="83">
        <v>12870858.818781918</v>
      </c>
    </row>
    <row r="22" spans="1:10" ht="12.75">
      <c r="A22" s="5"/>
      <c r="B22" s="35"/>
      <c r="C22" s="35"/>
      <c r="D22" s="35"/>
      <c r="E22" s="35"/>
      <c r="F22" s="35"/>
      <c r="G22" s="35"/>
      <c r="H22" s="35"/>
      <c r="J22" s="20"/>
    </row>
    <row r="23" spans="1:17" ht="12.75">
      <c r="A23" s="13" t="s">
        <v>20</v>
      </c>
      <c r="B23" s="36">
        <f aca="true" t="shared" si="0" ref="B23:G23">SUM(B8:B22)</f>
        <v>78986593.81</v>
      </c>
      <c r="C23" s="36">
        <f t="shared" si="0"/>
        <v>60822479</v>
      </c>
      <c r="D23" s="36">
        <f t="shared" si="0"/>
        <v>58404897</v>
      </c>
      <c r="E23" s="36">
        <f t="shared" si="0"/>
        <v>50307779</v>
      </c>
      <c r="F23" s="318">
        <f t="shared" si="0"/>
        <v>70818796.0226522</v>
      </c>
      <c r="G23" s="318">
        <f t="shared" si="0"/>
        <v>77603044.22491744</v>
      </c>
      <c r="H23" s="318">
        <f>SUM(H8:H22)</f>
        <v>85453312.94740918</v>
      </c>
      <c r="K23" s="31"/>
      <c r="L23" s="32"/>
      <c r="M23" s="32"/>
      <c r="N23" s="31"/>
      <c r="O23" s="31"/>
      <c r="P23" s="31"/>
      <c r="Q23" s="31"/>
    </row>
    <row r="25" ht="12">
      <c r="A25" s="72" t="s">
        <v>40</v>
      </c>
    </row>
    <row r="26" ht="12">
      <c r="A26" s="73" t="s">
        <v>228</v>
      </c>
    </row>
    <row r="27" ht="12">
      <c r="A27" s="73" t="s">
        <v>229</v>
      </c>
    </row>
    <row r="28" spans="1:8" ht="12.75">
      <c r="A28" s="73" t="s">
        <v>230</v>
      </c>
      <c r="B28" s="50"/>
      <c r="C28" s="51"/>
      <c r="D28" s="51"/>
      <c r="E28" s="51"/>
      <c r="F28" s="51"/>
      <c r="G28" s="50"/>
      <c r="H28" s="50"/>
    </row>
    <row r="29" spans="1:17" ht="12.75">
      <c r="A29" s="73" t="s">
        <v>231</v>
      </c>
      <c r="B29" s="53"/>
      <c r="C29" s="54"/>
      <c r="D29" s="51"/>
      <c r="E29" s="51"/>
      <c r="F29" s="53"/>
      <c r="G29" s="53"/>
      <c r="H29" s="53"/>
      <c r="J29" s="40"/>
      <c r="K29" s="34"/>
      <c r="L29" s="34"/>
      <c r="M29" s="34"/>
      <c r="N29" s="34"/>
      <c r="O29" s="34"/>
      <c r="P29" s="34"/>
      <c r="Q29" s="34"/>
    </row>
    <row r="30" spans="1:8" ht="12.75">
      <c r="A30" s="73" t="s">
        <v>232</v>
      </c>
      <c r="B30" s="51"/>
      <c r="C30" s="50"/>
      <c r="D30" s="50"/>
      <c r="E30" s="51"/>
      <c r="F30" s="51"/>
      <c r="G30" s="51"/>
      <c r="H30" s="51"/>
    </row>
    <row r="31" spans="1:8" ht="12.75">
      <c r="A31" s="73" t="s">
        <v>235</v>
      </c>
      <c r="B31" s="50"/>
      <c r="C31" s="50"/>
      <c r="D31" s="50"/>
      <c r="E31" s="50"/>
      <c r="F31" s="50"/>
      <c r="G31" s="50"/>
      <c r="H31" s="50"/>
    </row>
    <row r="32" spans="1:8" ht="12.75">
      <c r="A32" s="73" t="s">
        <v>234</v>
      </c>
      <c r="B32" s="55"/>
      <c r="C32" s="50"/>
      <c r="D32" s="50"/>
      <c r="E32" s="50"/>
      <c r="F32" s="50"/>
      <c r="G32" s="55"/>
      <c r="H32" s="55"/>
    </row>
    <row r="33" spans="2:8" ht="12.75">
      <c r="B33" s="56"/>
      <c r="C33" s="56"/>
      <c r="D33" s="56"/>
      <c r="E33" s="56"/>
      <c r="F33" s="56"/>
      <c r="G33" s="56"/>
      <c r="H33" s="56"/>
    </row>
    <row r="34" spans="1:8" ht="12">
      <c r="A34" s="72" t="s">
        <v>36</v>
      </c>
      <c r="B34" s="58"/>
      <c r="C34" s="49"/>
      <c r="D34" s="49"/>
      <c r="E34" s="49"/>
      <c r="F34" s="49"/>
      <c r="G34" s="49"/>
      <c r="H34" s="49"/>
    </row>
    <row r="35" spans="1:8" ht="12">
      <c r="A35" s="73" t="s">
        <v>76</v>
      </c>
      <c r="B35" s="49"/>
      <c r="C35" s="49"/>
      <c r="D35" s="49"/>
      <c r="E35" s="49"/>
      <c r="F35" s="49"/>
      <c r="G35" s="49"/>
      <c r="H35" s="49"/>
    </row>
    <row r="36" spans="1:8" ht="12">
      <c r="A36" s="73" t="s">
        <v>79</v>
      </c>
      <c r="B36" s="49"/>
      <c r="C36" s="49"/>
      <c r="D36" s="49"/>
      <c r="E36" s="49"/>
      <c r="F36" s="49"/>
      <c r="G36" s="49"/>
      <c r="H36" s="49"/>
    </row>
    <row r="37" spans="1:8" ht="12">
      <c r="A37" s="73" t="s">
        <v>77</v>
      </c>
      <c r="B37" s="49"/>
      <c r="C37" s="49"/>
      <c r="D37" s="49"/>
      <c r="E37" s="49"/>
      <c r="F37" s="49"/>
      <c r="G37" s="49"/>
      <c r="H37" s="49"/>
    </row>
    <row r="38" spans="1:8" ht="12.75">
      <c r="A38" s="73" t="s">
        <v>78</v>
      </c>
      <c r="B38" s="49"/>
      <c r="C38" s="49"/>
      <c r="D38" s="49"/>
      <c r="E38" s="49"/>
      <c r="F38" s="49"/>
      <c r="G38" s="49"/>
      <c r="H38" s="49"/>
    </row>
    <row r="39" spans="1:8" ht="12">
      <c r="A39" t="s">
        <v>85</v>
      </c>
      <c r="B39" s="49"/>
      <c r="C39" s="49"/>
      <c r="D39" s="49"/>
      <c r="E39" s="49"/>
      <c r="F39" s="49"/>
      <c r="G39" s="49"/>
      <c r="H39" s="49"/>
    </row>
    <row r="40" spans="2:8" ht="12">
      <c r="B40" s="49"/>
      <c r="C40" s="49"/>
      <c r="D40" s="49"/>
      <c r="E40" s="49"/>
      <c r="F40" s="49"/>
      <c r="G40" s="49"/>
      <c r="H40" s="49"/>
    </row>
    <row r="41" spans="2:8" ht="12">
      <c r="B41" s="49"/>
      <c r="C41" s="49"/>
      <c r="D41" s="49"/>
      <c r="E41" s="49"/>
      <c r="F41" s="49"/>
      <c r="G41" s="49"/>
      <c r="H41" s="49"/>
    </row>
    <row r="42" spans="1:8" ht="12">
      <c r="A42" s="47"/>
      <c r="B42" s="49"/>
      <c r="C42" s="49"/>
      <c r="D42" s="49"/>
      <c r="E42" s="49"/>
      <c r="F42" s="49"/>
      <c r="G42" s="49"/>
      <c r="H42" s="49"/>
    </row>
    <row r="43" spans="1:8" ht="12">
      <c r="A43" s="47"/>
      <c r="B43" s="49"/>
      <c r="C43" s="49"/>
      <c r="D43" s="49"/>
      <c r="E43" s="49"/>
      <c r="F43" s="49"/>
      <c r="G43" s="49"/>
      <c r="H43" s="49"/>
    </row>
    <row r="44" spans="1:8" ht="12">
      <c r="A44" s="57"/>
      <c r="B44" s="49"/>
      <c r="C44" s="49"/>
      <c r="D44" s="49"/>
      <c r="E44" s="49"/>
      <c r="F44" s="49"/>
      <c r="G44" s="49"/>
      <c r="H44" s="49"/>
    </row>
    <row r="45" spans="1:8" ht="12">
      <c r="A45" s="57"/>
      <c r="B45" s="49"/>
      <c r="C45" s="49"/>
      <c r="D45" s="49"/>
      <c r="E45" s="49"/>
      <c r="F45" s="49"/>
      <c r="G45" s="49"/>
      <c r="H45" s="49"/>
    </row>
    <row r="46" spans="1:8" ht="12">
      <c r="A46" s="57"/>
      <c r="B46" s="49"/>
      <c r="C46" s="49"/>
      <c r="D46" s="49"/>
      <c r="E46" s="49"/>
      <c r="F46" s="49"/>
      <c r="G46" s="49"/>
      <c r="H46" s="49"/>
    </row>
    <row r="47" spans="1:8" ht="12">
      <c r="A47" s="57"/>
      <c r="B47" s="49"/>
      <c r="C47" s="49"/>
      <c r="D47" s="49"/>
      <c r="E47" s="49"/>
      <c r="F47" s="49"/>
      <c r="G47" s="49"/>
      <c r="H47" s="49"/>
    </row>
    <row r="48" spans="1:8" ht="12">
      <c r="A48" s="57"/>
      <c r="B48" s="49"/>
      <c r="C48" s="49"/>
      <c r="D48" s="49"/>
      <c r="E48" s="49"/>
      <c r="F48" s="49"/>
      <c r="G48" s="49"/>
      <c r="H48" s="49"/>
    </row>
    <row r="49" spans="1:8" ht="12">
      <c r="A49" s="57"/>
      <c r="B49" s="49"/>
      <c r="C49" s="49"/>
      <c r="D49" s="49"/>
      <c r="E49" s="49"/>
      <c r="F49" s="49"/>
      <c r="G49" s="49"/>
      <c r="H49" s="49"/>
    </row>
    <row r="50" spans="1:8" ht="12">
      <c r="A50" s="57"/>
      <c r="B50" s="49"/>
      <c r="C50" s="49"/>
      <c r="D50" s="49"/>
      <c r="E50" s="49"/>
      <c r="F50" s="49"/>
      <c r="G50" s="49"/>
      <c r="H50" s="49"/>
    </row>
    <row r="51" spans="1:8" ht="12">
      <c r="A51" s="7"/>
      <c r="B51" s="59"/>
      <c r="C51" s="59"/>
      <c r="D51" s="59"/>
      <c r="E51" s="59"/>
      <c r="F51" s="59"/>
      <c r="G51" s="59"/>
      <c r="H51" s="59"/>
    </row>
    <row r="52" spans="1:8" ht="12.75">
      <c r="A52" s="52"/>
      <c r="B52" s="56"/>
      <c r="C52" s="56"/>
      <c r="D52" s="56"/>
      <c r="E52" s="56"/>
      <c r="F52" s="56"/>
      <c r="G52" s="56"/>
      <c r="H52" s="56"/>
    </row>
  </sheetData>
  <sheetProtection/>
  <printOptions/>
  <pageMargins left="0.47" right="0.54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SheetLayoutView="75" zoomScalePageLayoutView="0" workbookViewId="0" topLeftCell="A1">
      <selection activeCell="B8" sqref="B8:H23"/>
    </sheetView>
  </sheetViews>
  <sheetFormatPr defaultColWidth="9.140625" defaultRowHeight="12.75"/>
  <cols>
    <col min="1" max="1" width="49.57421875" style="0" customWidth="1"/>
    <col min="2" max="2" width="18.28125" style="30" bestFit="1" customWidth="1"/>
    <col min="3" max="3" width="20.57421875" style="30" bestFit="1" customWidth="1"/>
    <col min="4" max="5" width="20.28125" style="30" bestFit="1" customWidth="1"/>
    <col min="6" max="6" width="20.421875" style="30" bestFit="1" customWidth="1"/>
    <col min="7" max="8" width="20.421875" style="30" customWidth="1"/>
    <col min="9" max="13" width="10.7109375" style="30" customWidth="1"/>
  </cols>
  <sheetData>
    <row r="1" spans="1:8" ht="12.75">
      <c r="A1" s="64"/>
      <c r="B1" s="1" t="s">
        <v>37</v>
      </c>
      <c r="C1" s="21" t="s">
        <v>1</v>
      </c>
      <c r="D1" s="68"/>
      <c r="E1" s="69"/>
      <c r="F1" s="65" t="s">
        <v>81</v>
      </c>
      <c r="G1" s="66"/>
      <c r="H1" s="67"/>
    </row>
    <row r="2" spans="1:8" ht="12.75">
      <c r="A2" s="320" t="s">
        <v>255</v>
      </c>
      <c r="B2" s="71" t="s">
        <v>17</v>
      </c>
      <c r="C2" s="70" t="s">
        <v>18</v>
      </c>
      <c r="D2" s="60"/>
      <c r="E2" s="61"/>
      <c r="F2" s="62" t="s">
        <v>5</v>
      </c>
      <c r="G2" s="9" t="s">
        <v>2</v>
      </c>
      <c r="H2" s="9" t="s">
        <v>3</v>
      </c>
    </row>
    <row r="3" spans="1:13" ht="12.75">
      <c r="A3" s="321"/>
      <c r="B3" s="25"/>
      <c r="C3" s="27"/>
      <c r="D3" s="26"/>
      <c r="E3" s="22"/>
      <c r="F3" s="28" t="s">
        <v>89</v>
      </c>
      <c r="G3" s="28" t="s">
        <v>185</v>
      </c>
      <c r="H3" s="28" t="s">
        <v>227</v>
      </c>
      <c r="I3" s="34"/>
      <c r="J3" s="34"/>
      <c r="K3" s="34"/>
      <c r="L3" s="34"/>
      <c r="M3" s="34"/>
    </row>
    <row r="4" spans="1:8" ht="12.75">
      <c r="A4" s="320" t="s">
        <v>102</v>
      </c>
      <c r="B4" s="12" t="s">
        <v>38</v>
      </c>
      <c r="C4" s="1" t="s">
        <v>39</v>
      </c>
      <c r="D4" s="1" t="s">
        <v>7</v>
      </c>
      <c r="E4" s="10" t="s">
        <v>8</v>
      </c>
      <c r="F4" s="10" t="s">
        <v>4</v>
      </c>
      <c r="G4" s="10" t="s">
        <v>4</v>
      </c>
      <c r="H4" s="10" t="s">
        <v>4</v>
      </c>
    </row>
    <row r="5" spans="1:8" ht="12.75">
      <c r="A5" s="321"/>
      <c r="B5" s="11" t="s">
        <v>0</v>
      </c>
      <c r="C5" s="9" t="s">
        <v>0</v>
      </c>
      <c r="D5" s="9" t="s">
        <v>0</v>
      </c>
      <c r="E5" s="9" t="s">
        <v>0</v>
      </c>
      <c r="F5" s="9" t="s">
        <v>0</v>
      </c>
      <c r="G5" s="9" t="s">
        <v>0</v>
      </c>
      <c r="H5" s="9" t="s">
        <v>0</v>
      </c>
    </row>
    <row r="6" spans="1:8" ht="12.75">
      <c r="A6" s="322"/>
      <c r="B6" s="24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3" t="s">
        <v>14</v>
      </c>
      <c r="H6" s="23" t="s">
        <v>15</v>
      </c>
    </row>
    <row r="7" spans="1:13" ht="12.75">
      <c r="A7" s="3"/>
      <c r="B7" s="37"/>
      <c r="C7" s="37"/>
      <c r="D7" s="37"/>
      <c r="E7" s="37"/>
      <c r="F7" s="37"/>
      <c r="G7" s="37"/>
      <c r="H7" s="37"/>
      <c r="I7" s="32"/>
      <c r="J7" s="31"/>
      <c r="K7" s="31"/>
      <c r="L7" s="31"/>
      <c r="M7" s="31"/>
    </row>
    <row r="8" spans="1:9" ht="12">
      <c r="A8" s="19" t="s">
        <v>55</v>
      </c>
      <c r="B8" s="317">
        <v>14610751</v>
      </c>
      <c r="C8" s="80">
        <v>16208937.139830401</v>
      </c>
      <c r="D8" s="80">
        <v>15546709</v>
      </c>
      <c r="E8" s="80">
        <v>14193663</v>
      </c>
      <c r="F8" s="80">
        <v>16770283.153363284</v>
      </c>
      <c r="G8" s="80">
        <v>18447311.468699615</v>
      </c>
      <c r="H8" s="80">
        <v>20292042.615569577</v>
      </c>
      <c r="I8" s="130" t="s">
        <v>236</v>
      </c>
    </row>
    <row r="9" spans="1:9" ht="12">
      <c r="A9" s="8" t="s">
        <v>56</v>
      </c>
      <c r="B9" s="80">
        <v>17170658</v>
      </c>
      <c r="C9" s="80">
        <v>15748781.811852787</v>
      </c>
      <c r="D9" s="80">
        <v>15978200</v>
      </c>
      <c r="E9" s="80">
        <v>14838257</v>
      </c>
      <c r="F9" s="80">
        <v>19037452.307599723</v>
      </c>
      <c r="G9" s="80">
        <v>20921397.538359694</v>
      </c>
      <c r="H9" s="80">
        <v>23013537.29219567</v>
      </c>
      <c r="I9" s="130" t="s">
        <v>237</v>
      </c>
    </row>
    <row r="10" spans="1:9" ht="12">
      <c r="A10" s="19" t="s">
        <v>57</v>
      </c>
      <c r="B10" s="80">
        <v>7086230.8100000005</v>
      </c>
      <c r="C10" s="80">
        <v>4868581.0126276</v>
      </c>
      <c r="D10" s="80">
        <v>4868581</v>
      </c>
      <c r="E10" s="80">
        <v>3044746</v>
      </c>
      <c r="F10" s="80">
        <v>3413850.10763</v>
      </c>
      <c r="G10" s="80">
        <v>3750835.1183930007</v>
      </c>
      <c r="H10" s="80">
        <v>4125918.6302323015</v>
      </c>
      <c r="I10" s="130" t="s">
        <v>254</v>
      </c>
    </row>
    <row r="11" spans="1:9" ht="12">
      <c r="A11" s="19" t="s">
        <v>58</v>
      </c>
      <c r="B11" s="80">
        <v>5897032</v>
      </c>
      <c r="C11" s="80">
        <v>10088128.118890598</v>
      </c>
      <c r="D11" s="80">
        <v>9766128</v>
      </c>
      <c r="E11" s="80">
        <v>7608973</v>
      </c>
      <c r="F11" s="80">
        <v>10637073.403951997</v>
      </c>
      <c r="G11" s="80">
        <v>11700780.7443472</v>
      </c>
      <c r="H11" s="80">
        <v>12870858.818781918</v>
      </c>
      <c r="I11" s="130" t="s">
        <v>238</v>
      </c>
    </row>
    <row r="12" spans="1:9" ht="12">
      <c r="A12" s="19" t="s">
        <v>59</v>
      </c>
      <c r="B12" s="80">
        <v>2156569</v>
      </c>
      <c r="C12" s="80">
        <v>2308285.2642936</v>
      </c>
      <c r="D12" s="80">
        <v>2308285</v>
      </c>
      <c r="E12" s="80">
        <v>1784680</v>
      </c>
      <c r="F12" s="80">
        <v>1572886.9462599999</v>
      </c>
      <c r="G12" s="80">
        <v>1730175.6408860001</v>
      </c>
      <c r="H12" s="80">
        <v>1903193.2049746003</v>
      </c>
      <c r="I12" s="130" t="s">
        <v>239</v>
      </c>
    </row>
    <row r="13" spans="1:8" ht="12">
      <c r="A13" s="19" t="s">
        <v>60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</row>
    <row r="14" spans="1:9" ht="12">
      <c r="A14" s="8" t="s">
        <v>61</v>
      </c>
      <c r="B14" s="80">
        <v>3979108</v>
      </c>
      <c r="C14" s="80">
        <v>5610320</v>
      </c>
      <c r="D14" s="80">
        <v>5255320</v>
      </c>
      <c r="E14" s="80">
        <v>4375300</v>
      </c>
      <c r="F14" s="80">
        <v>14310141.5108</v>
      </c>
      <c r="G14" s="80">
        <v>15471024.261880001</v>
      </c>
      <c r="H14" s="80">
        <v>17108090.988068003</v>
      </c>
      <c r="I14" s="130" t="s">
        <v>242</v>
      </c>
    </row>
    <row r="15" spans="1:8" ht="12">
      <c r="A15" s="8" t="s">
        <v>62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</row>
    <row r="16" spans="1:8" ht="12">
      <c r="A16" s="19" t="s">
        <v>63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</row>
    <row r="17" spans="1:13" ht="12.75">
      <c r="A17" s="19" t="s">
        <v>64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34"/>
      <c r="J17" s="34"/>
      <c r="K17" s="34"/>
      <c r="L17" s="34"/>
      <c r="M17" s="34"/>
    </row>
    <row r="18" spans="1:8" ht="12">
      <c r="A18" s="19" t="s">
        <v>65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</row>
    <row r="19" spans="1:9" ht="12">
      <c r="A19" s="19" t="s">
        <v>66</v>
      </c>
      <c r="B19" s="80">
        <v>25801934</v>
      </c>
      <c r="C19" s="80">
        <v>2926741.1282679997</v>
      </c>
      <c r="D19" s="80">
        <v>1999769</v>
      </c>
      <c r="E19" s="80">
        <v>1782754</v>
      </c>
      <c r="F19" s="80">
        <v>2169139.52979</v>
      </c>
      <c r="G19" s="80">
        <v>2382753.4827690003</v>
      </c>
      <c r="H19" s="80">
        <v>2621028.8310459005</v>
      </c>
      <c r="I19" s="130" t="s">
        <v>240</v>
      </c>
    </row>
    <row r="20" spans="1:8" ht="12">
      <c r="A20" s="19" t="s">
        <v>67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1:8" ht="12">
      <c r="A21" s="19" t="s">
        <v>68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</row>
    <row r="22" spans="1:9" ht="12">
      <c r="A22" s="19" t="s">
        <v>241</v>
      </c>
      <c r="B22" s="80">
        <v>2284311</v>
      </c>
      <c r="C22" s="80">
        <v>3062704.57913808</v>
      </c>
      <c r="D22" s="80">
        <v>2681905</v>
      </c>
      <c r="E22" s="80">
        <v>2679406</v>
      </c>
      <c r="F22" s="80">
        <v>2907969.0632571992</v>
      </c>
      <c r="G22" s="80">
        <v>3198765.96958292</v>
      </c>
      <c r="H22" s="80">
        <v>3518642.566541212</v>
      </c>
      <c r="I22" s="130" t="s">
        <v>241</v>
      </c>
    </row>
    <row r="23" spans="1:8" ht="12">
      <c r="A23" s="5"/>
      <c r="B23" s="35"/>
      <c r="C23" s="35"/>
      <c r="D23" s="35"/>
      <c r="E23" s="35"/>
      <c r="F23" s="35"/>
      <c r="G23" s="35"/>
      <c r="H23" s="35"/>
    </row>
    <row r="24" spans="1:13" ht="12.75">
      <c r="A24" s="13" t="s">
        <v>20</v>
      </c>
      <c r="B24" s="36">
        <f aca="true" t="shared" si="0" ref="B24:G24">SUM(B8:B23)</f>
        <v>78986593.81</v>
      </c>
      <c r="C24" s="36">
        <f t="shared" si="0"/>
        <v>60822479.05490107</v>
      </c>
      <c r="D24" s="36">
        <f t="shared" si="0"/>
        <v>58404897</v>
      </c>
      <c r="E24" s="36">
        <f>SUM(E8:E23)</f>
        <v>50307779</v>
      </c>
      <c r="F24" s="36">
        <f>SUM(F8:F23)</f>
        <v>70818796.02265221</v>
      </c>
      <c r="G24" s="36">
        <f t="shared" si="0"/>
        <v>77603044.22491743</v>
      </c>
      <c r="H24" s="36">
        <f>SUM(H8:H23)</f>
        <v>85453312.94740918</v>
      </c>
      <c r="I24" s="32"/>
      <c r="J24" s="31"/>
      <c r="K24" s="31"/>
      <c r="L24" s="31"/>
      <c r="M24" s="31"/>
    </row>
    <row r="26" ht="12">
      <c r="A26" s="72" t="s">
        <v>40</v>
      </c>
    </row>
    <row r="27" ht="12">
      <c r="A27" s="73" t="s">
        <v>228</v>
      </c>
    </row>
    <row r="28" ht="12">
      <c r="A28" s="73" t="s">
        <v>229</v>
      </c>
    </row>
    <row r="29" ht="12">
      <c r="A29" s="73" t="s">
        <v>230</v>
      </c>
    </row>
    <row r="30" ht="12">
      <c r="A30" s="73" t="s">
        <v>231</v>
      </c>
    </row>
    <row r="31" spans="1:13" ht="12.75">
      <c r="A31" s="73" t="s">
        <v>232</v>
      </c>
      <c r="I31" s="34"/>
      <c r="J31" s="34"/>
      <c r="K31" s="34"/>
      <c r="L31" s="34"/>
      <c r="M31" s="34"/>
    </row>
    <row r="32" ht="12">
      <c r="A32" s="73" t="s">
        <v>235</v>
      </c>
    </row>
    <row r="33" ht="12">
      <c r="A33" s="73" t="s">
        <v>234</v>
      </c>
    </row>
    <row r="35" ht="12">
      <c r="A35" s="72" t="s">
        <v>36</v>
      </c>
    </row>
    <row r="36" ht="12">
      <c r="A36" s="73" t="s">
        <v>74</v>
      </c>
    </row>
    <row r="37" ht="12.75">
      <c r="A37" s="73" t="s">
        <v>75</v>
      </c>
    </row>
    <row r="38" ht="12">
      <c r="A38" t="s">
        <v>87</v>
      </c>
    </row>
  </sheetData>
  <sheetProtection/>
  <printOptions/>
  <pageMargins left="0.44" right="0.48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35.140625" style="136" customWidth="1"/>
    <col min="2" max="2" width="17.8515625" style="137" customWidth="1"/>
    <col min="3" max="3" width="15.7109375" style="137" customWidth="1"/>
    <col min="4" max="4" width="15.57421875" style="137" customWidth="1"/>
    <col min="5" max="5" width="15.28125" style="137" customWidth="1"/>
    <col min="6" max="6" width="16.7109375" style="137" customWidth="1"/>
    <col min="7" max="7" width="18.7109375" style="137" bestFit="1" customWidth="1"/>
    <col min="8" max="8" width="19.140625" style="137" bestFit="1" customWidth="1"/>
    <col min="9" max="16384" width="9.140625" style="136" customWidth="1"/>
  </cols>
  <sheetData>
    <row r="2" spans="1:8" ht="12.75">
      <c r="A2" s="138" t="s">
        <v>103</v>
      </c>
      <c r="B2" s="138" t="s">
        <v>37</v>
      </c>
      <c r="C2" s="139" t="s">
        <v>1</v>
      </c>
      <c r="D2" s="140"/>
      <c r="E2" s="141"/>
      <c r="F2" s="142" t="s">
        <v>81</v>
      </c>
      <c r="G2" s="143"/>
      <c r="H2" s="144"/>
    </row>
    <row r="3" spans="1:8" ht="12.75">
      <c r="A3" s="320" t="s">
        <v>256</v>
      </c>
      <c r="B3" s="146" t="s">
        <v>17</v>
      </c>
      <c r="C3" s="147" t="s">
        <v>18</v>
      </c>
      <c r="D3" s="148"/>
      <c r="E3" s="149"/>
      <c r="F3" s="150" t="s">
        <v>5</v>
      </c>
      <c r="G3" s="145" t="s">
        <v>2</v>
      </c>
      <c r="H3" s="145" t="s">
        <v>3</v>
      </c>
    </row>
    <row r="4" spans="2:8" ht="12.75">
      <c r="B4" s="151"/>
      <c r="C4" s="152"/>
      <c r="D4" s="153"/>
      <c r="E4" s="154"/>
      <c r="F4" s="28" t="s">
        <v>89</v>
      </c>
      <c r="G4" s="28" t="s">
        <v>185</v>
      </c>
      <c r="H4" s="28" t="s">
        <v>227</v>
      </c>
    </row>
    <row r="5" spans="1:8" ht="27.75" customHeight="1">
      <c r="A5" s="145" t="s">
        <v>188</v>
      </c>
      <c r="B5" s="155" t="s">
        <v>38</v>
      </c>
      <c r="C5" s="181" t="s">
        <v>39</v>
      </c>
      <c r="D5" s="181" t="s">
        <v>7</v>
      </c>
      <c r="E5" s="182" t="s">
        <v>8</v>
      </c>
      <c r="F5" s="156" t="s">
        <v>4</v>
      </c>
      <c r="G5" s="156" t="s">
        <v>4</v>
      </c>
      <c r="H5" s="156" t="s">
        <v>4</v>
      </c>
    </row>
    <row r="6" spans="1:8" ht="12.75">
      <c r="A6" s="157"/>
      <c r="B6" s="158" t="s">
        <v>186</v>
      </c>
      <c r="C6" s="145" t="s">
        <v>186</v>
      </c>
      <c r="D6" s="145" t="s">
        <v>186</v>
      </c>
      <c r="E6" s="145" t="s">
        <v>186</v>
      </c>
      <c r="F6" s="145" t="s">
        <v>186</v>
      </c>
      <c r="G6" s="145" t="s">
        <v>186</v>
      </c>
      <c r="H6" s="145" t="s">
        <v>186</v>
      </c>
    </row>
    <row r="7" spans="1:8" ht="12.75">
      <c r="A7" s="159"/>
      <c r="B7" s="160" t="s">
        <v>9</v>
      </c>
      <c r="C7" s="161" t="s">
        <v>10</v>
      </c>
      <c r="D7" s="161" t="s">
        <v>11</v>
      </c>
      <c r="E7" s="161" t="s">
        <v>12</v>
      </c>
      <c r="F7" s="161" t="s">
        <v>13</v>
      </c>
      <c r="G7" s="162" t="s">
        <v>14</v>
      </c>
      <c r="H7" s="162" t="s">
        <v>15</v>
      </c>
    </row>
    <row r="8" spans="1:8" ht="12.75">
      <c r="A8" s="163" t="s">
        <v>189</v>
      </c>
      <c r="B8" s="164"/>
      <c r="C8" s="164"/>
      <c r="D8" s="164"/>
      <c r="E8" s="164"/>
      <c r="F8" s="164"/>
      <c r="G8" s="164"/>
      <c r="H8" s="164"/>
    </row>
    <row r="9" spans="1:8" ht="12">
      <c r="A9" s="165"/>
      <c r="B9" s="164"/>
      <c r="C9" s="164"/>
      <c r="D9" s="164"/>
      <c r="E9" s="164"/>
      <c r="F9" s="164"/>
      <c r="G9" s="164"/>
      <c r="H9" s="164"/>
    </row>
    <row r="10" spans="1:8" ht="12">
      <c r="A10" s="165" t="s">
        <v>104</v>
      </c>
      <c r="B10" s="166">
        <v>24591932.72</v>
      </c>
      <c r="C10" s="315">
        <v>35114969</v>
      </c>
      <c r="D10" s="315">
        <v>32928397</v>
      </c>
      <c r="E10" s="166">
        <v>28660330</v>
      </c>
      <c r="F10" s="315">
        <v>40812022.487652205</v>
      </c>
      <c r="G10" s="315">
        <v>44893224.736417435</v>
      </c>
      <c r="H10" s="315">
        <v>49382547.21005917</v>
      </c>
    </row>
    <row r="11" spans="1:8" ht="12">
      <c r="A11" s="167" t="s">
        <v>105</v>
      </c>
      <c r="B11" s="166">
        <v>3197239</v>
      </c>
      <c r="C11" s="166">
        <v>3796290.877</v>
      </c>
      <c r="D11" s="166">
        <v>3796290.877</v>
      </c>
      <c r="E11" s="166">
        <v>3604650</v>
      </c>
      <c r="F11" s="166">
        <v>4278326.455</v>
      </c>
      <c r="G11" s="166">
        <v>4706159.1005</v>
      </c>
      <c r="H11" s="166">
        <v>5176775.01055</v>
      </c>
    </row>
    <row r="12" spans="1:8" ht="12">
      <c r="A12" s="167" t="s">
        <v>190</v>
      </c>
      <c r="B12" s="166">
        <v>-30858</v>
      </c>
      <c r="C12" s="166">
        <v>140000</v>
      </c>
      <c r="D12" s="166">
        <v>40000</v>
      </c>
      <c r="E12" s="166">
        <v>160000</v>
      </c>
      <c r="F12" s="166">
        <v>50000</v>
      </c>
      <c r="G12" s="166">
        <v>55000.00000000001</v>
      </c>
      <c r="H12" s="166">
        <v>60500.000000000015</v>
      </c>
    </row>
    <row r="13" spans="1:8" ht="12">
      <c r="A13" s="167" t="s">
        <v>191</v>
      </c>
      <c r="B13" s="166">
        <v>1778369.93</v>
      </c>
      <c r="C13" s="166">
        <v>2343000</v>
      </c>
      <c r="D13" s="166">
        <v>2343000</v>
      </c>
      <c r="E13" s="166">
        <v>1933000</v>
      </c>
      <c r="F13" s="166">
        <v>2341500</v>
      </c>
      <c r="G13" s="166">
        <v>2575650.0000000005</v>
      </c>
      <c r="H13" s="166">
        <v>2833215.0000000005</v>
      </c>
    </row>
    <row r="14" spans="1:8" ht="12">
      <c r="A14" s="167" t="s">
        <v>106</v>
      </c>
      <c r="B14" s="166">
        <v>481387</v>
      </c>
      <c r="C14" s="166">
        <v>454100</v>
      </c>
      <c r="D14" s="166">
        <v>484718</v>
      </c>
      <c r="E14" s="166">
        <v>404780</v>
      </c>
      <c r="F14" s="166">
        <v>494258</v>
      </c>
      <c r="G14" s="166">
        <v>543683.8</v>
      </c>
      <c r="H14" s="166">
        <v>598052.18</v>
      </c>
    </row>
    <row r="15" spans="1:8" ht="12">
      <c r="A15" s="167" t="s">
        <v>192</v>
      </c>
      <c r="B15" s="166">
        <v>3113932</v>
      </c>
      <c r="C15" s="166">
        <v>4175220</v>
      </c>
      <c r="D15" s="166">
        <v>4175220</v>
      </c>
      <c r="E15" s="166">
        <v>3486800</v>
      </c>
      <c r="F15" s="166">
        <v>9423310.360000001</v>
      </c>
      <c r="G15" s="166">
        <v>10095509.996</v>
      </c>
      <c r="H15" s="166">
        <v>11195025.2956</v>
      </c>
    </row>
    <row r="16" spans="1:8" ht="12">
      <c r="A16" s="167" t="s">
        <v>107</v>
      </c>
      <c r="B16" s="166">
        <v>10633569.73</v>
      </c>
      <c r="C16" s="166">
        <v>14798899</v>
      </c>
      <c r="D16" s="166">
        <v>14637271</v>
      </c>
      <c r="E16" s="166">
        <v>12048809</v>
      </c>
      <c r="F16" s="166">
        <v>13419378.719999999</v>
      </c>
      <c r="G16" s="166">
        <v>14733816.592</v>
      </c>
      <c r="H16" s="166">
        <v>16207198.251200002</v>
      </c>
    </row>
    <row r="17" spans="1:8" ht="12">
      <c r="A17" s="167" t="s">
        <v>193</v>
      </c>
      <c r="B17" s="184">
        <v>13189.51</v>
      </c>
      <c r="C17" s="168">
        <v>0</v>
      </c>
      <c r="D17" s="168">
        <v>0</v>
      </c>
      <c r="E17" s="389">
        <v>9410</v>
      </c>
      <c r="F17" s="168">
        <v>0</v>
      </c>
      <c r="G17" s="168">
        <v>0</v>
      </c>
      <c r="H17" s="168">
        <v>0</v>
      </c>
    </row>
    <row r="18" spans="1:8" ht="12">
      <c r="A18" s="167" t="s">
        <v>194</v>
      </c>
      <c r="B18" s="166">
        <v>35207831.92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</row>
    <row r="19" spans="1:8" ht="12">
      <c r="A19" s="167"/>
      <c r="B19" s="166"/>
      <c r="C19" s="166"/>
      <c r="D19" s="166"/>
      <c r="E19" s="166"/>
      <c r="F19" s="166"/>
      <c r="G19" s="166"/>
      <c r="H19" s="166"/>
    </row>
    <row r="20" spans="1:8" ht="12">
      <c r="A20" s="165"/>
      <c r="B20" s="169"/>
      <c r="C20" s="169"/>
      <c r="D20" s="169"/>
      <c r="E20" s="169"/>
      <c r="F20" s="169"/>
      <c r="G20" s="169"/>
      <c r="H20" s="169"/>
    </row>
    <row r="21" spans="1:8" ht="12.75">
      <c r="A21" s="170" t="s">
        <v>195</v>
      </c>
      <c r="B21" s="171">
        <f aca="true" t="shared" si="0" ref="B21:G21">SUM(B10:B20)</f>
        <v>78986593.81</v>
      </c>
      <c r="C21" s="171">
        <f t="shared" si="0"/>
        <v>60822478.877</v>
      </c>
      <c r="D21" s="171">
        <f t="shared" si="0"/>
        <v>58404896.877</v>
      </c>
      <c r="E21" s="171">
        <f t="shared" si="0"/>
        <v>50307779</v>
      </c>
      <c r="F21" s="171">
        <f t="shared" si="0"/>
        <v>70818796.02265221</v>
      </c>
      <c r="G21" s="171">
        <f t="shared" si="0"/>
        <v>77603044.22491744</v>
      </c>
      <c r="H21" s="171">
        <f>SUM(H10:H20)</f>
        <v>85453312.94740918</v>
      </c>
    </row>
    <row r="22" ht="12">
      <c r="F22" s="172"/>
    </row>
    <row r="23" spans="1:17" ht="12">
      <c r="A23" s="72" t="s">
        <v>40</v>
      </c>
      <c r="B23" s="30"/>
      <c r="C23" s="30"/>
      <c r="D23" s="30"/>
      <c r="E23" s="30"/>
      <c r="F23" s="30"/>
      <c r="G23" s="30"/>
      <c r="H23" s="30"/>
      <c r="K23" s="30"/>
      <c r="L23" s="30"/>
      <c r="M23" s="30"/>
      <c r="N23" s="30"/>
      <c r="O23" s="30"/>
      <c r="P23" s="30"/>
      <c r="Q23" s="30"/>
    </row>
    <row r="24" spans="1:17" ht="12">
      <c r="A24" s="73" t="s">
        <v>228</v>
      </c>
      <c r="B24" s="30"/>
      <c r="C24" s="30"/>
      <c r="D24" s="30"/>
      <c r="E24" s="30"/>
      <c r="F24" s="30"/>
      <c r="G24" s="30"/>
      <c r="H24" s="30"/>
      <c r="K24" s="30"/>
      <c r="L24" s="30"/>
      <c r="M24" s="30"/>
      <c r="N24" s="30"/>
      <c r="O24" s="30"/>
      <c r="P24" s="30"/>
      <c r="Q24" s="30"/>
    </row>
    <row r="25" spans="1:17" ht="12">
      <c r="A25" s="73" t="s">
        <v>229</v>
      </c>
      <c r="B25" s="30"/>
      <c r="C25" s="30"/>
      <c r="D25" s="30"/>
      <c r="E25" s="30"/>
      <c r="F25" s="30"/>
      <c r="G25" s="30"/>
      <c r="H25" s="30"/>
      <c r="K25" s="30"/>
      <c r="L25" s="30"/>
      <c r="M25" s="30"/>
      <c r="N25" s="30"/>
      <c r="O25" s="30"/>
      <c r="P25" s="30"/>
      <c r="Q25" s="30"/>
    </row>
    <row r="26" spans="1:17" ht="12.75">
      <c r="A26" s="73" t="s">
        <v>230</v>
      </c>
      <c r="B26" s="50"/>
      <c r="C26" s="51"/>
      <c r="D26" s="51"/>
      <c r="E26" s="51"/>
      <c r="F26" s="51"/>
      <c r="G26" s="50"/>
      <c r="H26" s="50"/>
      <c r="K26" s="30"/>
      <c r="L26" s="30"/>
      <c r="M26" s="30"/>
      <c r="N26" s="30"/>
      <c r="O26" s="30"/>
      <c r="P26" s="30"/>
      <c r="Q26" s="30"/>
    </row>
    <row r="27" spans="1:17" ht="12.75">
      <c r="A27" s="73" t="s">
        <v>231</v>
      </c>
      <c r="B27" s="53"/>
      <c r="C27" s="54"/>
      <c r="D27" s="51"/>
      <c r="E27" s="51"/>
      <c r="F27" s="53"/>
      <c r="G27" s="53"/>
      <c r="H27" s="53"/>
      <c r="J27" s="40"/>
      <c r="K27" s="34"/>
      <c r="L27" s="34"/>
      <c r="M27" s="34"/>
      <c r="N27" s="34"/>
      <c r="O27" s="34"/>
      <c r="P27" s="34"/>
      <c r="Q27" s="34"/>
    </row>
    <row r="28" spans="1:17" ht="12.75">
      <c r="A28" s="73" t="s">
        <v>232</v>
      </c>
      <c r="B28" s="51"/>
      <c r="C28" s="50"/>
      <c r="D28" s="50"/>
      <c r="E28" s="51"/>
      <c r="F28" s="51"/>
      <c r="G28" s="51"/>
      <c r="H28" s="51"/>
      <c r="K28" s="30"/>
      <c r="L28" s="30"/>
      <c r="M28" s="30"/>
      <c r="N28" s="30"/>
      <c r="O28" s="30"/>
      <c r="P28" s="30"/>
      <c r="Q28" s="30"/>
    </row>
    <row r="29" spans="1:17" ht="12.75">
      <c r="A29" s="73" t="s">
        <v>235</v>
      </c>
      <c r="B29" s="50"/>
      <c r="C29" s="50"/>
      <c r="D29" s="50"/>
      <c r="E29" s="50"/>
      <c r="F29" s="50"/>
      <c r="G29" s="50"/>
      <c r="H29" s="50"/>
      <c r="K29" s="30"/>
      <c r="L29" s="30"/>
      <c r="M29" s="30"/>
      <c r="N29" s="30"/>
      <c r="O29" s="30"/>
      <c r="P29" s="30"/>
      <c r="Q29" s="30"/>
    </row>
    <row r="30" spans="1:17" ht="12.75">
      <c r="A30" s="73" t="s">
        <v>234</v>
      </c>
      <c r="B30" s="55"/>
      <c r="C30" s="50"/>
      <c r="D30" s="50"/>
      <c r="E30" s="50"/>
      <c r="F30" s="50"/>
      <c r="G30" s="55"/>
      <c r="H30" s="55"/>
      <c r="K30" s="30"/>
      <c r="L30" s="30"/>
      <c r="M30" s="30"/>
      <c r="N30" s="30"/>
      <c r="O30" s="30"/>
      <c r="P30" s="30"/>
      <c r="Q30" s="30"/>
    </row>
  </sheetData>
  <sheetProtection/>
  <printOptions/>
  <pageMargins left="0.5511811023622047" right="0.52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75" zoomScalePageLayoutView="0" workbookViewId="0" topLeftCell="A1">
      <selection activeCell="E25" sqref="E25"/>
    </sheetView>
  </sheetViews>
  <sheetFormatPr defaultColWidth="9.140625" defaultRowHeight="12.75"/>
  <cols>
    <col min="1" max="1" width="39.57421875" style="0" customWidth="1"/>
    <col min="2" max="2" width="16.7109375" style="30" customWidth="1"/>
    <col min="3" max="3" width="15.7109375" style="30" customWidth="1"/>
    <col min="4" max="4" width="15.8515625" style="30" customWidth="1"/>
    <col min="5" max="5" width="14.00390625" style="30" customWidth="1"/>
    <col min="6" max="6" width="16.421875" style="30" customWidth="1"/>
    <col min="7" max="7" width="18.140625" style="30" customWidth="1"/>
    <col min="8" max="8" width="18.28125" style="30" customWidth="1"/>
    <col min="9" max="13" width="10.7109375" style="30" customWidth="1"/>
  </cols>
  <sheetData>
    <row r="1" spans="1:8" ht="12.75">
      <c r="A1" s="64"/>
      <c r="B1" s="1" t="s">
        <v>37</v>
      </c>
      <c r="C1" s="21" t="s">
        <v>1</v>
      </c>
      <c r="D1" s="68"/>
      <c r="E1" s="69"/>
      <c r="F1" s="65" t="s">
        <v>81</v>
      </c>
      <c r="G1" s="66"/>
      <c r="H1" s="67"/>
    </row>
    <row r="2" spans="1:8" ht="12.75">
      <c r="A2" s="9" t="s">
        <v>34</v>
      </c>
      <c r="B2" s="71" t="s">
        <v>17</v>
      </c>
      <c r="C2" s="70" t="s">
        <v>18</v>
      </c>
      <c r="D2" s="60"/>
      <c r="E2" s="61"/>
      <c r="F2" s="62" t="s">
        <v>5</v>
      </c>
      <c r="G2" s="9" t="s">
        <v>2</v>
      </c>
      <c r="H2" s="9" t="s">
        <v>3</v>
      </c>
    </row>
    <row r="3" spans="1:13" ht="12.75">
      <c r="A3" s="3"/>
      <c r="B3" s="25"/>
      <c r="C3" s="27"/>
      <c r="D3" s="26"/>
      <c r="E3" s="22"/>
      <c r="F3" s="135" t="s">
        <v>89</v>
      </c>
      <c r="G3" s="135" t="s">
        <v>185</v>
      </c>
      <c r="H3" s="135" t="s">
        <v>227</v>
      </c>
      <c r="I3" s="34"/>
      <c r="J3" s="34"/>
      <c r="K3" s="34"/>
      <c r="L3" s="34"/>
      <c r="M3" s="34"/>
    </row>
    <row r="4" spans="1:8" ht="25.5">
      <c r="A4" s="9" t="s">
        <v>21</v>
      </c>
      <c r="B4" s="12" t="s">
        <v>38</v>
      </c>
      <c r="C4" s="179" t="s">
        <v>39</v>
      </c>
      <c r="D4" s="183" t="s">
        <v>7</v>
      </c>
      <c r="E4" s="180" t="s">
        <v>8</v>
      </c>
      <c r="F4" s="10" t="s">
        <v>4</v>
      </c>
      <c r="G4" s="10" t="s">
        <v>4</v>
      </c>
      <c r="H4" s="10" t="s">
        <v>4</v>
      </c>
    </row>
    <row r="5" spans="1:8" ht="12.75">
      <c r="A5" s="3"/>
      <c r="B5" s="11" t="s">
        <v>186</v>
      </c>
      <c r="C5" s="9" t="s">
        <v>186</v>
      </c>
      <c r="D5" s="9" t="s">
        <v>186</v>
      </c>
      <c r="E5" s="9" t="s">
        <v>186</v>
      </c>
      <c r="F5" s="9" t="s">
        <v>186</v>
      </c>
      <c r="G5" s="9" t="s">
        <v>186</v>
      </c>
      <c r="H5" s="9" t="s">
        <v>186</v>
      </c>
    </row>
    <row r="6" spans="1:8" ht="12.75">
      <c r="A6" s="4"/>
      <c r="B6" s="24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3" t="s">
        <v>14</v>
      </c>
      <c r="H6" s="23" t="s">
        <v>15</v>
      </c>
    </row>
    <row r="7" spans="1:13" ht="12.75">
      <c r="A7" s="3"/>
      <c r="B7" s="37"/>
      <c r="C7" s="37"/>
      <c r="D7" s="37"/>
      <c r="E7" s="37"/>
      <c r="F7" s="37"/>
      <c r="G7" s="37"/>
      <c r="H7" s="37"/>
      <c r="I7" s="32"/>
      <c r="J7" s="31"/>
      <c r="K7" s="31"/>
      <c r="L7" s="31"/>
      <c r="M7" s="31"/>
    </row>
    <row r="8" spans="1:13" ht="12.75">
      <c r="A8" s="8" t="s">
        <v>318</v>
      </c>
      <c r="B8" s="80">
        <v>2068</v>
      </c>
      <c r="C8" s="80">
        <v>500000</v>
      </c>
      <c r="D8" s="80">
        <v>3892</v>
      </c>
      <c r="E8" s="81">
        <v>3892</v>
      </c>
      <c r="F8" s="80">
        <v>1000000</v>
      </c>
      <c r="G8" s="80">
        <v>0</v>
      </c>
      <c r="H8" s="80">
        <v>0</v>
      </c>
      <c r="I8" s="32"/>
      <c r="J8" s="31"/>
      <c r="K8" s="31"/>
      <c r="L8" s="31"/>
      <c r="M8" s="31"/>
    </row>
    <row r="9" spans="1:8" ht="12">
      <c r="A9" s="8" t="s">
        <v>99</v>
      </c>
      <c r="B9" s="337">
        <v>1748899.94</v>
      </c>
      <c r="C9" s="80">
        <v>3000000</v>
      </c>
      <c r="D9" s="80">
        <v>3000000</v>
      </c>
      <c r="E9" s="317">
        <v>2500000</v>
      </c>
      <c r="F9" s="80">
        <v>9635000</v>
      </c>
      <c r="G9" s="80">
        <v>0</v>
      </c>
      <c r="H9" s="80">
        <v>0</v>
      </c>
    </row>
    <row r="10" spans="1:13" ht="12.75">
      <c r="A10" s="8" t="s">
        <v>319</v>
      </c>
      <c r="B10" s="337">
        <v>1881706.7999999998</v>
      </c>
      <c r="C10" s="80">
        <v>3980000</v>
      </c>
      <c r="D10" s="80">
        <v>3980000</v>
      </c>
      <c r="E10" s="81">
        <v>3980000</v>
      </c>
      <c r="F10" s="80">
        <v>3270000</v>
      </c>
      <c r="G10" s="80">
        <v>2350000</v>
      </c>
      <c r="H10" s="80">
        <v>2350000</v>
      </c>
      <c r="I10" s="32"/>
      <c r="J10" s="31"/>
      <c r="K10" s="31"/>
      <c r="L10" s="31"/>
      <c r="M10" s="31"/>
    </row>
    <row r="11" spans="1:13" ht="12.75">
      <c r="A11" s="8" t="s">
        <v>95</v>
      </c>
      <c r="B11" s="337">
        <v>16333590.1</v>
      </c>
      <c r="C11" s="80">
        <v>6100000</v>
      </c>
      <c r="D11" s="80">
        <v>5100000</v>
      </c>
      <c r="E11" s="81">
        <v>5100000</v>
      </c>
      <c r="F11" s="80">
        <v>0</v>
      </c>
      <c r="G11" s="80">
        <v>0</v>
      </c>
      <c r="H11" s="80">
        <v>0</v>
      </c>
      <c r="I11" s="32"/>
      <c r="J11" s="31"/>
      <c r="K11" s="31"/>
      <c r="L11" s="31"/>
      <c r="M11" s="31"/>
    </row>
    <row r="12" spans="1:13" ht="12.75">
      <c r="A12" s="8" t="s">
        <v>320</v>
      </c>
      <c r="B12" s="337">
        <v>6839921.869999999</v>
      </c>
      <c r="C12" s="80">
        <v>5600000</v>
      </c>
      <c r="D12" s="80">
        <v>7096491</v>
      </c>
      <c r="E12" s="81">
        <v>3093055</v>
      </c>
      <c r="F12" s="80">
        <v>7150000</v>
      </c>
      <c r="G12" s="80">
        <v>2000000</v>
      </c>
      <c r="H12" s="80">
        <v>0</v>
      </c>
      <c r="I12" s="32"/>
      <c r="J12" s="31"/>
      <c r="K12" s="31"/>
      <c r="L12" s="31"/>
      <c r="M12" s="31"/>
    </row>
    <row r="13" spans="1:13" ht="12.75">
      <c r="A13" s="8" t="s">
        <v>241</v>
      </c>
      <c r="B13" s="80">
        <v>1425903.07</v>
      </c>
      <c r="C13" s="80">
        <v>1550000</v>
      </c>
      <c r="D13" s="80">
        <v>2050000</v>
      </c>
      <c r="E13" s="80">
        <v>1550000</v>
      </c>
      <c r="F13" s="80">
        <v>2000000</v>
      </c>
      <c r="G13" s="80">
        <v>0</v>
      </c>
      <c r="H13" s="80">
        <v>0</v>
      </c>
      <c r="I13" s="334"/>
      <c r="J13" s="31"/>
      <c r="K13" s="31"/>
      <c r="L13" s="31"/>
      <c r="M13" s="31"/>
    </row>
    <row r="14" spans="1:13" ht="12.75">
      <c r="A14" s="19" t="s">
        <v>321</v>
      </c>
      <c r="B14" s="337">
        <v>1854976.3199999998</v>
      </c>
      <c r="C14" s="80">
        <v>950000</v>
      </c>
      <c r="D14" s="80">
        <v>950000</v>
      </c>
      <c r="E14" s="81">
        <v>950000</v>
      </c>
      <c r="F14" s="80">
        <v>3450000</v>
      </c>
      <c r="G14" s="80">
        <v>2550000</v>
      </c>
      <c r="H14" s="80">
        <v>2550000</v>
      </c>
      <c r="I14" s="32"/>
      <c r="J14" s="31"/>
      <c r="K14" s="31"/>
      <c r="L14" s="31"/>
      <c r="M14" s="31"/>
    </row>
    <row r="15" spans="1:13" ht="12.75">
      <c r="A15" s="8" t="s">
        <v>97</v>
      </c>
      <c r="B15" s="337">
        <v>0</v>
      </c>
      <c r="C15" s="80">
        <v>1250000</v>
      </c>
      <c r="D15" s="80">
        <v>2010000</v>
      </c>
      <c r="E15" s="81">
        <v>1250000</v>
      </c>
      <c r="F15" s="80">
        <v>0</v>
      </c>
      <c r="G15" s="80">
        <v>0</v>
      </c>
      <c r="H15" s="80">
        <v>0</v>
      </c>
      <c r="I15" s="32"/>
      <c r="J15" s="31"/>
      <c r="K15" s="31"/>
      <c r="L15" s="31"/>
      <c r="M15" s="31"/>
    </row>
    <row r="16" spans="1:13" ht="12.75">
      <c r="A16" s="8" t="s">
        <v>96</v>
      </c>
      <c r="B16" s="337">
        <v>0</v>
      </c>
      <c r="C16" s="80">
        <v>357000</v>
      </c>
      <c r="D16" s="80">
        <v>357000</v>
      </c>
      <c r="E16" s="81">
        <v>200000</v>
      </c>
      <c r="F16" s="80">
        <v>0</v>
      </c>
      <c r="G16" s="80">
        <v>0</v>
      </c>
      <c r="H16" s="80">
        <v>0</v>
      </c>
      <c r="I16" s="32"/>
      <c r="J16" s="31"/>
      <c r="K16" s="31"/>
      <c r="L16" s="31"/>
      <c r="M16" s="31"/>
    </row>
    <row r="17" spans="1:13" ht="12.75">
      <c r="A17" s="19" t="s">
        <v>100</v>
      </c>
      <c r="B17" s="337">
        <v>646412.64</v>
      </c>
      <c r="C17" s="80">
        <v>950000</v>
      </c>
      <c r="D17" s="80">
        <v>950000</v>
      </c>
      <c r="E17" s="81">
        <v>900000</v>
      </c>
      <c r="F17" s="80">
        <v>800000</v>
      </c>
      <c r="G17" s="80">
        <v>620000</v>
      </c>
      <c r="H17" s="80">
        <v>630000</v>
      </c>
      <c r="I17" s="32"/>
      <c r="J17" s="31"/>
      <c r="K17" s="31"/>
      <c r="L17" s="31"/>
      <c r="M17" s="31"/>
    </row>
    <row r="18" spans="1:8" ht="12">
      <c r="A18" s="19" t="s">
        <v>94</v>
      </c>
      <c r="B18" s="338">
        <v>625361.1799999997</v>
      </c>
      <c r="C18" s="80">
        <v>0</v>
      </c>
      <c r="D18" s="80">
        <v>0</v>
      </c>
      <c r="E18" s="81">
        <v>0</v>
      </c>
      <c r="F18" s="80">
        <v>0</v>
      </c>
      <c r="G18" s="80">
        <v>0</v>
      </c>
      <c r="H18" s="80">
        <v>0</v>
      </c>
    </row>
    <row r="19" spans="1:8" ht="12">
      <c r="A19" s="335" t="s">
        <v>98</v>
      </c>
      <c r="B19" s="337">
        <v>6210</v>
      </c>
      <c r="C19" s="80">
        <v>500000</v>
      </c>
      <c r="D19" s="80">
        <v>500000</v>
      </c>
      <c r="E19" s="81">
        <v>500000</v>
      </c>
      <c r="F19" s="80">
        <v>2000000</v>
      </c>
      <c r="G19" s="80">
        <v>0</v>
      </c>
      <c r="H19" s="80">
        <v>0</v>
      </c>
    </row>
    <row r="20" spans="1:8" ht="12">
      <c r="A20" s="19" t="s">
        <v>68</v>
      </c>
      <c r="B20" s="337">
        <v>0</v>
      </c>
      <c r="C20" s="80">
        <v>0</v>
      </c>
      <c r="D20" s="80">
        <v>0</v>
      </c>
      <c r="E20" s="81">
        <v>0</v>
      </c>
      <c r="F20" s="80">
        <v>0</v>
      </c>
      <c r="G20" s="80">
        <v>0</v>
      </c>
      <c r="H20" s="80"/>
    </row>
    <row r="21" spans="1:8" ht="12">
      <c r="A21" s="19"/>
      <c r="B21" s="337"/>
      <c r="C21" s="80"/>
      <c r="D21" s="80"/>
      <c r="E21" s="81"/>
      <c r="F21" s="80"/>
      <c r="G21" s="80"/>
      <c r="H21" s="80"/>
    </row>
    <row r="22" spans="1:8" ht="12">
      <c r="A22" s="19"/>
      <c r="B22" s="336"/>
      <c r="C22" s="38"/>
      <c r="D22" s="38"/>
      <c r="E22" s="83"/>
      <c r="F22" s="38"/>
      <c r="G22" s="38"/>
      <c r="H22" s="38"/>
    </row>
    <row r="23" spans="1:8" ht="12">
      <c r="A23" s="5"/>
      <c r="B23" s="339"/>
      <c r="C23" s="339"/>
      <c r="D23" s="339"/>
      <c r="E23" s="339"/>
      <c r="F23" s="339"/>
      <c r="G23" s="339"/>
      <c r="H23" s="339"/>
    </row>
    <row r="24" spans="1:13" ht="12.75">
      <c r="A24" s="13" t="s">
        <v>21</v>
      </c>
      <c r="B24" s="340">
        <f aca="true" t="shared" si="0" ref="B24:H24">SUM(B8:B23)</f>
        <v>31365049.92</v>
      </c>
      <c r="C24" s="340">
        <f t="shared" si="0"/>
        <v>24737000</v>
      </c>
      <c r="D24" s="340">
        <f t="shared" si="0"/>
        <v>25997383</v>
      </c>
      <c r="E24" s="340">
        <f t="shared" si="0"/>
        <v>20026947</v>
      </c>
      <c r="F24" s="340">
        <f t="shared" si="0"/>
        <v>29305000</v>
      </c>
      <c r="G24" s="340">
        <f t="shared" si="0"/>
        <v>7520000</v>
      </c>
      <c r="H24" s="340">
        <f t="shared" si="0"/>
        <v>5530000</v>
      </c>
      <c r="I24" s="32"/>
      <c r="J24" s="31"/>
      <c r="K24" s="31"/>
      <c r="L24" s="31"/>
      <c r="M24" s="31"/>
    </row>
    <row r="25" ht="12">
      <c r="C25" s="130"/>
    </row>
    <row r="26" ht="12">
      <c r="A26" s="72" t="s">
        <v>40</v>
      </c>
    </row>
    <row r="27" ht="12">
      <c r="A27" s="73" t="s">
        <v>228</v>
      </c>
    </row>
    <row r="28" ht="12">
      <c r="A28" s="73" t="s">
        <v>229</v>
      </c>
    </row>
    <row r="29" ht="12">
      <c r="A29" s="73" t="s">
        <v>230</v>
      </c>
    </row>
    <row r="30" ht="12">
      <c r="A30" s="73" t="s">
        <v>231</v>
      </c>
    </row>
    <row r="31" spans="1:13" ht="12.75">
      <c r="A31" s="73" t="s">
        <v>232</v>
      </c>
      <c r="I31" s="34"/>
      <c r="J31" s="34"/>
      <c r="K31" s="34"/>
      <c r="L31" s="34"/>
      <c r="M31" s="34"/>
    </row>
    <row r="32" ht="12">
      <c r="A32" s="73" t="s">
        <v>235</v>
      </c>
    </row>
    <row r="33" ht="12">
      <c r="A33" s="73" t="s">
        <v>234</v>
      </c>
    </row>
    <row r="35" ht="12">
      <c r="A35" s="72" t="s">
        <v>36</v>
      </c>
    </row>
    <row r="36" ht="12">
      <c r="A36" s="73" t="s">
        <v>76</v>
      </c>
    </row>
    <row r="37" ht="12">
      <c r="A37" s="73" t="s">
        <v>79</v>
      </c>
    </row>
    <row r="38" ht="12">
      <c r="A38" s="73" t="s">
        <v>80</v>
      </c>
    </row>
    <row r="39" ht="12.75">
      <c r="A39" s="73" t="s">
        <v>78</v>
      </c>
    </row>
    <row r="40" ht="12">
      <c r="A40" t="s">
        <v>86</v>
      </c>
    </row>
  </sheetData>
  <sheetProtection/>
  <printOptions/>
  <pageMargins left="0.5" right="0.56" top="1" bottom="1" header="0.5" footer="0.5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SheetLayoutView="75" zoomScalePageLayoutView="0" workbookViewId="0" topLeftCell="A1">
      <selection activeCell="C8" sqref="C8:I22"/>
    </sheetView>
  </sheetViews>
  <sheetFormatPr defaultColWidth="9.140625" defaultRowHeight="12.75"/>
  <cols>
    <col min="1" max="1" width="5.00390625" style="0" customWidth="1"/>
    <col min="2" max="2" width="49.57421875" style="0" customWidth="1"/>
    <col min="3" max="3" width="18.28125" style="30" bestFit="1" customWidth="1"/>
    <col min="4" max="4" width="20.57421875" style="30" bestFit="1" customWidth="1"/>
    <col min="5" max="6" width="20.28125" style="30" bestFit="1" customWidth="1"/>
    <col min="7" max="7" width="20.421875" style="30" bestFit="1" customWidth="1"/>
    <col min="8" max="9" width="20.421875" style="30" customWidth="1"/>
    <col min="10" max="14" width="10.7109375" style="30" customWidth="1"/>
  </cols>
  <sheetData>
    <row r="1" spans="2:9" ht="12.75">
      <c r="B1" s="64"/>
      <c r="C1" s="1" t="s">
        <v>37</v>
      </c>
      <c r="D1" s="21" t="s">
        <v>1</v>
      </c>
      <c r="E1" s="68"/>
      <c r="F1" s="69"/>
      <c r="G1" s="65" t="s">
        <v>81</v>
      </c>
      <c r="H1" s="66"/>
      <c r="I1" s="67"/>
    </row>
    <row r="2" spans="2:9" ht="12.75">
      <c r="B2" s="9" t="s">
        <v>82</v>
      </c>
      <c r="C2" s="71" t="s">
        <v>17</v>
      </c>
      <c r="D2" s="70" t="s">
        <v>18</v>
      </c>
      <c r="E2" s="60"/>
      <c r="F2" s="61"/>
      <c r="G2" s="62" t="s">
        <v>5</v>
      </c>
      <c r="H2" s="9" t="s">
        <v>2</v>
      </c>
      <c r="I2" s="9" t="s">
        <v>3</v>
      </c>
    </row>
    <row r="3" spans="2:14" ht="12.75">
      <c r="B3" s="3"/>
      <c r="C3" s="25"/>
      <c r="D3" s="27"/>
      <c r="E3" s="26"/>
      <c r="F3" s="22"/>
      <c r="G3" s="135" t="s">
        <v>89</v>
      </c>
      <c r="H3" s="135" t="s">
        <v>185</v>
      </c>
      <c r="I3" s="135" t="s">
        <v>227</v>
      </c>
      <c r="J3" s="34"/>
      <c r="K3" s="34"/>
      <c r="L3" s="34"/>
      <c r="M3" s="34"/>
      <c r="N3" s="34"/>
    </row>
    <row r="4" spans="2:9" ht="12.75">
      <c r="B4" s="9" t="s">
        <v>83</v>
      </c>
      <c r="C4" s="12" t="s">
        <v>38</v>
      </c>
      <c r="D4" s="1" t="s">
        <v>39</v>
      </c>
      <c r="E4" s="1" t="s">
        <v>7</v>
      </c>
      <c r="F4" s="10" t="s">
        <v>8</v>
      </c>
      <c r="G4" s="10" t="s">
        <v>4</v>
      </c>
      <c r="H4" s="10" t="s">
        <v>4</v>
      </c>
      <c r="I4" s="10" t="s">
        <v>4</v>
      </c>
    </row>
    <row r="5" spans="2:9" ht="12.75">
      <c r="B5" s="3"/>
      <c r="C5" s="11" t="s">
        <v>186</v>
      </c>
      <c r="D5" s="9" t="s">
        <v>186</v>
      </c>
      <c r="E5" s="9" t="s">
        <v>186</v>
      </c>
      <c r="F5" s="9" t="s">
        <v>0</v>
      </c>
      <c r="G5" s="9" t="s">
        <v>0</v>
      </c>
      <c r="H5" s="9" t="s">
        <v>0</v>
      </c>
      <c r="I5" s="9" t="s">
        <v>0</v>
      </c>
    </row>
    <row r="6" spans="2:9" ht="12.75">
      <c r="B6" s="4"/>
      <c r="C6" s="24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3" t="s">
        <v>14</v>
      </c>
      <c r="I6" s="23" t="s">
        <v>15</v>
      </c>
    </row>
    <row r="7" spans="2:14" ht="12.75">
      <c r="B7" s="3"/>
      <c r="C7" s="37"/>
      <c r="D7" s="37"/>
      <c r="E7" s="37"/>
      <c r="F7" s="37"/>
      <c r="G7" s="37"/>
      <c r="H7" s="37"/>
      <c r="I7" s="37"/>
      <c r="J7" s="32"/>
      <c r="K7" s="31"/>
      <c r="L7" s="31"/>
      <c r="M7" s="31"/>
      <c r="N7" s="31"/>
    </row>
    <row r="8" spans="1:9" ht="12">
      <c r="A8">
        <v>1</v>
      </c>
      <c r="B8" s="19" t="s">
        <v>55</v>
      </c>
      <c r="C8" s="388">
        <v>1854976.3199999998</v>
      </c>
      <c r="D8" s="81">
        <v>3150000</v>
      </c>
      <c r="E8" s="388">
        <v>4646491</v>
      </c>
      <c r="F8" s="81">
        <v>3150000</v>
      </c>
      <c r="G8" s="81">
        <v>4250000</v>
      </c>
      <c r="H8" s="81">
        <v>2550000</v>
      </c>
      <c r="I8" s="81">
        <v>2550000</v>
      </c>
    </row>
    <row r="9" spans="1:9" ht="12">
      <c r="A9">
        <v>2</v>
      </c>
      <c r="B9" s="8" t="s">
        <v>56</v>
      </c>
      <c r="C9" s="81">
        <v>6839921.869999999</v>
      </c>
      <c r="D9" s="81">
        <v>3400000</v>
      </c>
      <c r="E9" s="388">
        <v>3400000</v>
      </c>
      <c r="F9" s="81">
        <v>893055</v>
      </c>
      <c r="G9" s="81">
        <v>6350000</v>
      </c>
      <c r="H9" s="81">
        <v>2000000</v>
      </c>
      <c r="I9" s="81">
        <v>0</v>
      </c>
    </row>
    <row r="10" spans="1:9" ht="12">
      <c r="A10">
        <v>3</v>
      </c>
      <c r="B10" s="19" t="s">
        <v>57</v>
      </c>
      <c r="C10" s="81">
        <v>1881706.7999999998</v>
      </c>
      <c r="D10" s="81">
        <v>5587000</v>
      </c>
      <c r="E10" s="388">
        <v>6347000</v>
      </c>
      <c r="F10" s="81">
        <v>5430000</v>
      </c>
      <c r="G10" s="81">
        <v>3270000</v>
      </c>
      <c r="H10" s="81">
        <v>2350000</v>
      </c>
      <c r="I10" s="81">
        <v>2350000</v>
      </c>
    </row>
    <row r="11" spans="1:9" ht="12">
      <c r="A11">
        <v>4</v>
      </c>
      <c r="B11" s="19" t="s">
        <v>58</v>
      </c>
      <c r="C11" s="81">
        <v>2068</v>
      </c>
      <c r="D11" s="81">
        <v>500000</v>
      </c>
      <c r="E11" s="388">
        <v>3892</v>
      </c>
      <c r="F11" s="81">
        <v>3892</v>
      </c>
      <c r="G11" s="81">
        <v>1000000</v>
      </c>
      <c r="H11" s="81">
        <v>0</v>
      </c>
      <c r="I11" s="81">
        <v>0</v>
      </c>
    </row>
    <row r="12" spans="1:9" ht="12">
      <c r="A12">
        <v>5</v>
      </c>
      <c r="B12" s="19" t="s">
        <v>59</v>
      </c>
      <c r="C12" s="81">
        <v>0</v>
      </c>
      <c r="D12" s="81">
        <v>0</v>
      </c>
      <c r="E12" s="388">
        <v>0</v>
      </c>
      <c r="F12" s="81">
        <v>0</v>
      </c>
      <c r="G12" s="81">
        <v>0</v>
      </c>
      <c r="H12" s="81">
        <v>0</v>
      </c>
      <c r="I12" s="81">
        <v>0</v>
      </c>
    </row>
    <row r="13" spans="1:9" ht="12">
      <c r="A13">
        <v>6</v>
      </c>
      <c r="B13" s="19" t="s">
        <v>60</v>
      </c>
      <c r="C13" s="81">
        <v>0</v>
      </c>
      <c r="D13" s="81">
        <v>0</v>
      </c>
      <c r="E13" s="388">
        <v>0</v>
      </c>
      <c r="F13" s="81">
        <v>0</v>
      </c>
      <c r="G13" s="81">
        <v>0</v>
      </c>
      <c r="H13" s="81">
        <v>0</v>
      </c>
      <c r="I13" s="81">
        <v>0</v>
      </c>
    </row>
    <row r="14" spans="1:9" ht="12">
      <c r="A14">
        <v>7</v>
      </c>
      <c r="B14" s="8" t="s">
        <v>61</v>
      </c>
      <c r="C14" s="81">
        <v>1748899.94</v>
      </c>
      <c r="D14" s="81">
        <v>3000000</v>
      </c>
      <c r="E14" s="388">
        <v>3000000</v>
      </c>
      <c r="F14" s="81">
        <v>2500000</v>
      </c>
      <c r="G14" s="81">
        <v>9635000</v>
      </c>
      <c r="H14" s="81">
        <v>0</v>
      </c>
      <c r="I14" s="81">
        <v>0</v>
      </c>
    </row>
    <row r="15" spans="1:9" ht="12">
      <c r="A15">
        <v>8</v>
      </c>
      <c r="B15" s="8" t="s">
        <v>62</v>
      </c>
      <c r="C15" s="81">
        <v>646412.64</v>
      </c>
      <c r="D15" s="81">
        <v>950000</v>
      </c>
      <c r="E15" s="388">
        <v>950000</v>
      </c>
      <c r="F15" s="81">
        <v>900000</v>
      </c>
      <c r="G15" s="81">
        <v>800000</v>
      </c>
      <c r="H15" s="81">
        <v>620000</v>
      </c>
      <c r="I15" s="81">
        <v>630000</v>
      </c>
    </row>
    <row r="16" spans="1:9" ht="12">
      <c r="A16">
        <v>9</v>
      </c>
      <c r="B16" s="19" t="s">
        <v>63</v>
      </c>
      <c r="C16" s="81">
        <v>0</v>
      </c>
      <c r="D16" s="81">
        <v>500000</v>
      </c>
      <c r="E16" s="388">
        <v>500000</v>
      </c>
      <c r="F16" s="81">
        <v>500000</v>
      </c>
      <c r="G16" s="81">
        <v>0</v>
      </c>
      <c r="H16" s="81">
        <v>0</v>
      </c>
      <c r="I16" s="81">
        <v>0</v>
      </c>
    </row>
    <row r="17" spans="1:14" ht="12.75">
      <c r="A17">
        <v>10</v>
      </c>
      <c r="B17" s="19" t="s">
        <v>64</v>
      </c>
      <c r="C17" s="81">
        <v>6210</v>
      </c>
      <c r="D17" s="81">
        <v>0</v>
      </c>
      <c r="E17" s="388">
        <v>0</v>
      </c>
      <c r="F17" s="81">
        <v>0</v>
      </c>
      <c r="G17" s="81">
        <v>2000000</v>
      </c>
      <c r="H17" s="81">
        <v>0</v>
      </c>
      <c r="I17" s="81">
        <v>0</v>
      </c>
      <c r="J17" s="34"/>
      <c r="K17" s="34"/>
      <c r="L17" s="34"/>
      <c r="M17" s="34"/>
      <c r="N17" s="34"/>
    </row>
    <row r="18" spans="1:9" ht="12">
      <c r="A18">
        <v>11</v>
      </c>
      <c r="B18" s="19" t="s">
        <v>65</v>
      </c>
      <c r="C18" s="81">
        <v>0</v>
      </c>
      <c r="D18" s="81">
        <v>0</v>
      </c>
      <c r="E18" s="388">
        <v>0</v>
      </c>
      <c r="F18" s="81">
        <v>0</v>
      </c>
      <c r="G18" s="81">
        <v>0</v>
      </c>
      <c r="H18" s="81">
        <v>0</v>
      </c>
      <c r="I18" s="81">
        <v>0</v>
      </c>
    </row>
    <row r="19" spans="1:9" ht="12">
      <c r="A19">
        <v>12</v>
      </c>
      <c r="B19" s="19" t="s">
        <v>66</v>
      </c>
      <c r="C19" s="388">
        <v>16333590.1</v>
      </c>
      <c r="D19" s="81">
        <v>6100000</v>
      </c>
      <c r="E19" s="388">
        <v>5100000</v>
      </c>
      <c r="F19" s="81">
        <v>5100000</v>
      </c>
      <c r="G19" s="81">
        <v>0</v>
      </c>
      <c r="H19" s="81">
        <v>0</v>
      </c>
      <c r="I19" s="81">
        <v>0</v>
      </c>
    </row>
    <row r="20" spans="1:9" ht="12">
      <c r="A20">
        <v>13</v>
      </c>
      <c r="B20" s="19" t="s">
        <v>67</v>
      </c>
      <c r="C20" s="81">
        <v>625361.1799999997</v>
      </c>
      <c r="D20" s="81">
        <v>0</v>
      </c>
      <c r="E20" s="388">
        <v>0</v>
      </c>
      <c r="F20" s="81">
        <v>0</v>
      </c>
      <c r="G20" s="81">
        <v>0</v>
      </c>
      <c r="H20" s="81">
        <v>0</v>
      </c>
      <c r="I20" s="81">
        <v>0</v>
      </c>
    </row>
    <row r="21" spans="1:9" ht="12">
      <c r="A21">
        <v>14</v>
      </c>
      <c r="B21" s="19" t="s">
        <v>68</v>
      </c>
      <c r="C21" s="388">
        <v>0</v>
      </c>
      <c r="D21" s="81">
        <v>0</v>
      </c>
      <c r="E21" s="388">
        <v>0</v>
      </c>
      <c r="F21" s="81">
        <v>0</v>
      </c>
      <c r="G21" s="81">
        <v>0</v>
      </c>
      <c r="H21" s="81">
        <v>0</v>
      </c>
      <c r="I21" s="81">
        <v>0</v>
      </c>
    </row>
    <row r="22" spans="1:9" ht="12">
      <c r="A22">
        <v>15</v>
      </c>
      <c r="B22" s="19" t="s">
        <v>241</v>
      </c>
      <c r="C22" s="81">
        <v>1425903.07</v>
      </c>
      <c r="D22" s="80">
        <v>1550000</v>
      </c>
      <c r="E22" s="388">
        <v>2050000</v>
      </c>
      <c r="F22" s="81">
        <v>1550000</v>
      </c>
      <c r="G22" s="81">
        <v>2000000</v>
      </c>
      <c r="H22" s="81">
        <v>0</v>
      </c>
      <c r="I22" s="81">
        <v>0</v>
      </c>
    </row>
    <row r="23" spans="2:9" ht="12">
      <c r="B23" s="5"/>
      <c r="C23" s="35"/>
      <c r="D23" s="35"/>
      <c r="E23" s="35"/>
      <c r="F23" s="341"/>
      <c r="G23" s="341"/>
      <c r="H23" s="341"/>
      <c r="I23" s="341"/>
    </row>
    <row r="24" spans="2:14" ht="12.75">
      <c r="B24" s="13" t="s">
        <v>21</v>
      </c>
      <c r="C24" s="36">
        <f aca="true" t="shared" si="0" ref="C24:I24">SUM(C8:C23)</f>
        <v>31365049.919999998</v>
      </c>
      <c r="D24" s="36">
        <f>SUM(D8:D23)</f>
        <v>24737000</v>
      </c>
      <c r="E24" s="36">
        <f t="shared" si="0"/>
        <v>25997383</v>
      </c>
      <c r="F24" s="36">
        <f>SUM(F8:F23)</f>
        <v>20026947</v>
      </c>
      <c r="G24" s="36">
        <f>SUM(G8:G23)</f>
        <v>29305000</v>
      </c>
      <c r="H24" s="36">
        <f t="shared" si="0"/>
        <v>7520000</v>
      </c>
      <c r="I24" s="36">
        <f t="shared" si="0"/>
        <v>5530000</v>
      </c>
      <c r="J24" s="32"/>
      <c r="K24" s="31"/>
      <c r="L24" s="31"/>
      <c r="M24" s="31"/>
      <c r="N24" s="31"/>
    </row>
    <row r="26" ht="12">
      <c r="B26" s="72" t="s">
        <v>40</v>
      </c>
    </row>
    <row r="27" ht="12">
      <c r="B27" s="73" t="s">
        <v>228</v>
      </c>
    </row>
    <row r="28" ht="12">
      <c r="B28" s="73" t="s">
        <v>229</v>
      </c>
    </row>
    <row r="29" ht="12">
      <c r="B29" s="73" t="s">
        <v>230</v>
      </c>
    </row>
    <row r="30" ht="12">
      <c r="B30" s="73" t="s">
        <v>231</v>
      </c>
    </row>
    <row r="31" spans="2:14" ht="12.75">
      <c r="B31" s="73" t="s">
        <v>232</v>
      </c>
      <c r="J31" s="34"/>
      <c r="K31" s="34"/>
      <c r="L31" s="34"/>
      <c r="M31" s="34"/>
      <c r="N31" s="34"/>
    </row>
    <row r="32" ht="12">
      <c r="B32" s="73" t="s">
        <v>235</v>
      </c>
    </row>
    <row r="33" ht="12">
      <c r="B33" s="73" t="s">
        <v>234</v>
      </c>
    </row>
    <row r="35" ht="12">
      <c r="B35" s="72" t="s">
        <v>36</v>
      </c>
    </row>
    <row r="36" ht="12">
      <c r="B36" s="73" t="s">
        <v>74</v>
      </c>
    </row>
    <row r="37" ht="12.75">
      <c r="B37" s="73" t="s">
        <v>75</v>
      </c>
    </row>
    <row r="38" ht="12">
      <c r="B38" t="s">
        <v>87</v>
      </c>
    </row>
  </sheetData>
  <sheetProtection/>
  <printOptions/>
  <pageMargins left="0.44" right="0.32" top="1" bottom="1" header="0.5" footer="0.5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SheetLayoutView="75" zoomScalePageLayoutView="0" workbookViewId="0" topLeftCell="A1">
      <selection activeCell="F31" sqref="F31"/>
    </sheetView>
  </sheetViews>
  <sheetFormatPr defaultColWidth="9.140625" defaultRowHeight="12.75"/>
  <cols>
    <col min="1" max="1" width="49.57421875" style="0" customWidth="1"/>
    <col min="2" max="2" width="17.140625" style="0" customWidth="1"/>
    <col min="3" max="3" width="17.421875" style="0" customWidth="1"/>
    <col min="4" max="4" width="16.140625" style="0" customWidth="1"/>
    <col min="5" max="5" width="14.421875" style="0" customWidth="1"/>
    <col min="6" max="6" width="17.57421875" style="0" customWidth="1"/>
    <col min="7" max="8" width="16.28125" style="0" customWidth="1"/>
    <col min="9" max="14" width="10.7109375" style="30" customWidth="1"/>
  </cols>
  <sheetData>
    <row r="1" spans="1:8" ht="12.75">
      <c r="A1" s="64"/>
      <c r="B1" s="1" t="s">
        <v>37</v>
      </c>
      <c r="C1" s="21" t="s">
        <v>1</v>
      </c>
      <c r="D1" s="68"/>
      <c r="E1" s="69"/>
      <c r="F1" s="65" t="s">
        <v>81</v>
      </c>
      <c r="G1" s="66"/>
      <c r="H1" s="67"/>
    </row>
    <row r="2" spans="1:8" ht="12.75">
      <c r="A2" s="9" t="s">
        <v>397</v>
      </c>
      <c r="B2" s="71" t="s">
        <v>17</v>
      </c>
      <c r="C2" s="70" t="s">
        <v>18</v>
      </c>
      <c r="D2" s="60"/>
      <c r="E2" s="61"/>
      <c r="F2" s="62" t="s">
        <v>5</v>
      </c>
      <c r="G2" s="9" t="s">
        <v>2</v>
      </c>
      <c r="H2" s="9" t="s">
        <v>3</v>
      </c>
    </row>
    <row r="3" spans="1:8" ht="12.75">
      <c r="A3" s="3"/>
      <c r="B3" s="25"/>
      <c r="C3" s="27"/>
      <c r="D3" s="26"/>
      <c r="E3" s="22"/>
      <c r="F3" s="28" t="s">
        <v>89</v>
      </c>
      <c r="G3" s="28" t="s">
        <v>185</v>
      </c>
      <c r="H3" s="28" t="s">
        <v>227</v>
      </c>
    </row>
    <row r="4" spans="1:8" ht="32.25" customHeight="1">
      <c r="A4" s="9" t="s">
        <v>28</v>
      </c>
      <c r="B4" s="12" t="s">
        <v>38</v>
      </c>
      <c r="C4" s="179" t="s">
        <v>39</v>
      </c>
      <c r="D4" s="179" t="s">
        <v>7</v>
      </c>
      <c r="E4" s="187" t="s">
        <v>8</v>
      </c>
      <c r="F4" s="10" t="s">
        <v>4</v>
      </c>
      <c r="G4" s="10" t="s">
        <v>4</v>
      </c>
      <c r="H4" s="10" t="s">
        <v>4</v>
      </c>
    </row>
    <row r="5" spans="1:8" ht="12.75">
      <c r="A5" s="9"/>
      <c r="B5" s="11" t="s">
        <v>186</v>
      </c>
      <c r="C5" s="9" t="s">
        <v>186</v>
      </c>
      <c r="D5" s="9" t="s">
        <v>186</v>
      </c>
      <c r="E5" s="9" t="s">
        <v>186</v>
      </c>
      <c r="F5" s="9" t="s">
        <v>186</v>
      </c>
      <c r="G5" s="9" t="s">
        <v>186</v>
      </c>
      <c r="H5" s="9" t="s">
        <v>186</v>
      </c>
    </row>
    <row r="6" spans="1:8" ht="12.75">
      <c r="A6" s="16"/>
      <c r="B6" s="24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3" t="s">
        <v>14</v>
      </c>
      <c r="H6" s="23" t="s">
        <v>15</v>
      </c>
    </row>
    <row r="7" spans="1:14" ht="12.75">
      <c r="A7" s="3"/>
      <c r="B7" s="41"/>
      <c r="C7" s="41"/>
      <c r="D7" s="41"/>
      <c r="E7" s="41"/>
      <c r="F7" s="41"/>
      <c r="G7" s="41"/>
      <c r="H7" s="41"/>
      <c r="I7" s="32"/>
      <c r="J7" s="32"/>
      <c r="K7" s="48"/>
      <c r="L7" s="48"/>
      <c r="M7" s="48"/>
      <c r="N7" s="48"/>
    </row>
    <row r="8" spans="1:8" ht="12.75">
      <c r="A8" s="3" t="s">
        <v>29</v>
      </c>
      <c r="B8" s="41"/>
      <c r="C8" s="74"/>
      <c r="D8" s="41"/>
      <c r="E8" s="41"/>
      <c r="F8" s="44"/>
      <c r="G8" s="44"/>
      <c r="H8" s="44"/>
    </row>
    <row r="9" spans="1:8" ht="12">
      <c r="A9" s="5" t="s">
        <v>22</v>
      </c>
      <c r="B9" s="184">
        <v>0</v>
      </c>
      <c r="C9" s="184">
        <v>0</v>
      </c>
      <c r="D9" s="184">
        <v>0</v>
      </c>
      <c r="E9" s="184">
        <v>0</v>
      </c>
      <c r="F9" s="188">
        <v>0</v>
      </c>
      <c r="G9" s="188">
        <v>0</v>
      </c>
      <c r="H9" s="188">
        <v>0</v>
      </c>
    </row>
    <row r="10" spans="1:8" ht="12">
      <c r="A10" s="8" t="s">
        <v>23</v>
      </c>
      <c r="B10" s="189">
        <v>0</v>
      </c>
      <c r="C10" s="184">
        <v>0</v>
      </c>
      <c r="D10" s="184">
        <v>0</v>
      </c>
      <c r="E10" s="184">
        <v>0</v>
      </c>
      <c r="F10" s="185">
        <v>0</v>
      </c>
      <c r="G10" s="185">
        <v>0</v>
      </c>
      <c r="H10" s="185">
        <v>0</v>
      </c>
    </row>
    <row r="11" spans="1:14" ht="12.75">
      <c r="A11" s="13" t="s">
        <v>24</v>
      </c>
      <c r="B11" s="190">
        <f>SUM(B9:B10)</f>
        <v>0</v>
      </c>
      <c r="C11" s="190">
        <f>SUM(C9:C10)</f>
        <v>0</v>
      </c>
      <c r="D11" s="190">
        <f>SUM(D9:D10)</f>
        <v>0</v>
      </c>
      <c r="E11" s="190">
        <f>SUM(E9:E10)</f>
        <v>0</v>
      </c>
      <c r="F11" s="191">
        <v>0</v>
      </c>
      <c r="G11" s="191">
        <v>0</v>
      </c>
      <c r="H11" s="191">
        <v>0</v>
      </c>
      <c r="I11" s="49"/>
      <c r="J11" s="49"/>
      <c r="K11" s="49"/>
      <c r="L11" s="49"/>
      <c r="M11" s="49"/>
      <c r="N11" s="49"/>
    </row>
    <row r="12" spans="1:14" ht="12.75">
      <c r="A12" s="8"/>
      <c r="B12" s="17"/>
      <c r="C12" s="75"/>
      <c r="D12" s="17"/>
      <c r="E12" s="17"/>
      <c r="F12" s="43"/>
      <c r="G12" s="43"/>
      <c r="H12" s="43"/>
      <c r="I12" s="34"/>
      <c r="J12" s="34"/>
      <c r="K12" s="34"/>
      <c r="L12" s="34"/>
      <c r="M12" s="34"/>
      <c r="N12" s="34"/>
    </row>
    <row r="13" spans="1:8" ht="12.75">
      <c r="A13" s="3" t="s">
        <v>30</v>
      </c>
      <c r="B13" s="5"/>
      <c r="C13" s="77"/>
      <c r="D13" s="5"/>
      <c r="E13" s="5"/>
      <c r="F13" s="42"/>
      <c r="G13" s="42"/>
      <c r="H13" s="42"/>
    </row>
    <row r="14" spans="1:8" ht="12">
      <c r="A14" s="5" t="s">
        <v>22</v>
      </c>
      <c r="B14" s="80">
        <v>6931</v>
      </c>
      <c r="C14" s="184">
        <v>0</v>
      </c>
      <c r="D14" s="184">
        <v>0</v>
      </c>
      <c r="E14" s="184">
        <v>0</v>
      </c>
      <c r="F14" s="188">
        <v>0</v>
      </c>
      <c r="G14" s="188">
        <v>0</v>
      </c>
      <c r="H14" s="188">
        <v>0</v>
      </c>
    </row>
    <row r="15" spans="1:8" ht="12">
      <c r="A15" s="8" t="s">
        <v>23</v>
      </c>
      <c r="B15" s="82">
        <v>0</v>
      </c>
      <c r="C15" s="84">
        <v>357000</v>
      </c>
      <c r="D15" s="84">
        <v>357000</v>
      </c>
      <c r="E15" s="84">
        <v>200000</v>
      </c>
      <c r="F15" s="186">
        <v>750000</v>
      </c>
      <c r="G15" s="185">
        <v>0</v>
      </c>
      <c r="H15" s="185">
        <v>0</v>
      </c>
    </row>
    <row r="16" spans="1:8" ht="12.75">
      <c r="A16" s="13" t="s">
        <v>25</v>
      </c>
      <c r="B16" s="76">
        <f aca="true" t="shared" si="0" ref="B16:H16">SUM(B14:B15)</f>
        <v>6931</v>
      </c>
      <c r="C16" s="76">
        <f t="shared" si="0"/>
        <v>357000</v>
      </c>
      <c r="D16" s="76">
        <f t="shared" si="0"/>
        <v>357000</v>
      </c>
      <c r="E16" s="76">
        <f t="shared" si="0"/>
        <v>200000</v>
      </c>
      <c r="F16" s="340">
        <f>SUM(F14:F15)</f>
        <v>750000</v>
      </c>
      <c r="G16" s="190">
        <f t="shared" si="0"/>
        <v>0</v>
      </c>
      <c r="H16" s="190">
        <f t="shared" si="0"/>
        <v>0</v>
      </c>
    </row>
    <row r="17" spans="1:8" ht="12">
      <c r="A17" s="8"/>
      <c r="B17" s="17"/>
      <c r="C17" s="17"/>
      <c r="D17" s="17"/>
      <c r="E17" s="17"/>
      <c r="F17" s="43"/>
      <c r="G17" s="43"/>
      <c r="H17" s="43"/>
    </row>
    <row r="18" spans="1:8" ht="12.75">
      <c r="A18" s="3" t="s">
        <v>410</v>
      </c>
      <c r="B18" s="5"/>
      <c r="C18" s="5"/>
      <c r="D18" s="5"/>
      <c r="E18" s="5"/>
      <c r="F18" s="42"/>
      <c r="G18" s="42"/>
      <c r="H18" s="42"/>
    </row>
    <row r="19" spans="1:8" ht="12">
      <c r="A19" s="5" t="s">
        <v>69</v>
      </c>
      <c r="B19" s="184">
        <v>0</v>
      </c>
      <c r="C19" s="184">
        <v>0</v>
      </c>
      <c r="D19" s="184">
        <v>0</v>
      </c>
      <c r="E19" s="184">
        <v>0</v>
      </c>
      <c r="F19" s="343">
        <v>0</v>
      </c>
      <c r="G19" s="188">
        <v>0</v>
      </c>
      <c r="H19" s="188">
        <v>0</v>
      </c>
    </row>
    <row r="20" spans="1:8" ht="12">
      <c r="A20" s="8" t="s">
        <v>23</v>
      </c>
      <c r="B20" s="189">
        <v>0</v>
      </c>
      <c r="C20" s="189">
        <v>0</v>
      </c>
      <c r="D20" s="189">
        <v>0</v>
      </c>
      <c r="E20" s="189">
        <v>0</v>
      </c>
      <c r="F20" s="185">
        <v>0</v>
      </c>
      <c r="G20" s="185">
        <v>0</v>
      </c>
      <c r="H20" s="185">
        <v>0</v>
      </c>
    </row>
    <row r="21" spans="1:8" ht="12.75">
      <c r="A21" s="13" t="s">
        <v>324</v>
      </c>
      <c r="B21" s="190">
        <f>SUM(B19:B20)</f>
        <v>0</v>
      </c>
      <c r="C21" s="190">
        <f aca="true" t="shared" si="1" ref="C21:H21">SUM(C19:C20)</f>
        <v>0</v>
      </c>
      <c r="D21" s="190">
        <f t="shared" si="1"/>
        <v>0</v>
      </c>
      <c r="E21" s="190">
        <f t="shared" si="1"/>
        <v>0</v>
      </c>
      <c r="F21" s="340">
        <f t="shared" si="1"/>
        <v>0</v>
      </c>
      <c r="G21" s="190">
        <f t="shared" si="1"/>
        <v>0</v>
      </c>
      <c r="H21" s="190">
        <f t="shared" si="1"/>
        <v>0</v>
      </c>
    </row>
    <row r="22" spans="1:8" ht="12">
      <c r="A22" s="5"/>
      <c r="B22" s="193"/>
      <c r="C22" s="193"/>
      <c r="D22" s="193"/>
      <c r="E22" s="193"/>
      <c r="F22" s="194"/>
      <c r="G22" s="194"/>
      <c r="H22" s="194"/>
    </row>
    <row r="23" spans="1:8" ht="12.75">
      <c r="A23" s="3" t="s">
        <v>26</v>
      </c>
      <c r="B23" s="74">
        <f>SUM(B11+B16+B21)</f>
        <v>6931</v>
      </c>
      <c r="C23" s="74">
        <f aca="true" t="shared" si="2" ref="C23:H23">SUM(C11+C16+C21)</f>
        <v>357000</v>
      </c>
      <c r="D23" s="74">
        <f t="shared" si="2"/>
        <v>357000</v>
      </c>
      <c r="E23" s="74">
        <f t="shared" si="2"/>
        <v>200000</v>
      </c>
      <c r="F23" s="74">
        <f t="shared" si="2"/>
        <v>750000</v>
      </c>
      <c r="G23" s="192">
        <f t="shared" si="2"/>
        <v>0</v>
      </c>
      <c r="H23" s="192">
        <f t="shared" si="2"/>
        <v>0</v>
      </c>
    </row>
    <row r="24" spans="1:8" ht="12">
      <c r="A24" s="5"/>
      <c r="B24" s="5"/>
      <c r="C24" s="5"/>
      <c r="D24" s="5"/>
      <c r="E24" s="5"/>
      <c r="F24" s="42"/>
      <c r="G24" s="42"/>
      <c r="H24" s="42"/>
    </row>
    <row r="25" spans="1:8" ht="12.75">
      <c r="A25" s="3" t="s">
        <v>27</v>
      </c>
      <c r="B25" s="192">
        <v>0</v>
      </c>
      <c r="C25" s="192">
        <v>0</v>
      </c>
      <c r="D25" s="192">
        <v>0</v>
      </c>
      <c r="E25" s="192">
        <v>0</v>
      </c>
      <c r="F25" s="192">
        <v>0</v>
      </c>
      <c r="G25" s="192">
        <v>0</v>
      </c>
      <c r="H25" s="192">
        <v>0</v>
      </c>
    </row>
    <row r="26" spans="1:8" ht="12">
      <c r="A26" s="5"/>
      <c r="B26" s="5"/>
      <c r="C26" s="5"/>
      <c r="D26" s="5"/>
      <c r="E26" s="5"/>
      <c r="F26" s="42"/>
      <c r="G26" s="42"/>
      <c r="H26" s="42"/>
    </row>
    <row r="27" spans="1:8" ht="12.75">
      <c r="A27" s="3" t="s">
        <v>35</v>
      </c>
      <c r="B27" s="74">
        <f>B31-B23</f>
        <v>31358118.92</v>
      </c>
      <c r="C27" s="74">
        <f aca="true" t="shared" si="3" ref="C27:H27">C31-C23</f>
        <v>24380000</v>
      </c>
      <c r="D27" s="74">
        <f t="shared" si="3"/>
        <v>25640383</v>
      </c>
      <c r="E27" s="74">
        <f t="shared" si="3"/>
        <v>19826947</v>
      </c>
      <c r="F27" s="74">
        <f t="shared" si="3"/>
        <v>28555000</v>
      </c>
      <c r="G27" s="74">
        <f t="shared" si="3"/>
        <v>7520000</v>
      </c>
      <c r="H27" s="74">
        <f t="shared" si="3"/>
        <v>5530000</v>
      </c>
    </row>
    <row r="28" spans="1:8" ht="12">
      <c r="A28" s="5"/>
      <c r="B28" s="5"/>
      <c r="C28" s="5"/>
      <c r="D28" s="5"/>
      <c r="E28" s="5"/>
      <c r="F28" s="42"/>
      <c r="G28" s="42"/>
      <c r="H28" s="42"/>
    </row>
    <row r="29" spans="1:9" ht="12.75">
      <c r="A29" s="3" t="s">
        <v>31</v>
      </c>
      <c r="B29" s="192">
        <v>0</v>
      </c>
      <c r="C29" s="192">
        <v>0</v>
      </c>
      <c r="D29" s="192">
        <v>0</v>
      </c>
      <c r="E29" s="192">
        <v>0</v>
      </c>
      <c r="F29" s="195">
        <v>0</v>
      </c>
      <c r="G29" s="195">
        <v>0</v>
      </c>
      <c r="H29" s="195">
        <v>0</v>
      </c>
      <c r="I29" s="177"/>
    </row>
    <row r="30" spans="1:8" ht="12">
      <c r="A30" s="5"/>
      <c r="B30" s="5"/>
      <c r="C30" s="5"/>
      <c r="D30" s="5"/>
      <c r="E30" s="5"/>
      <c r="F30" s="42"/>
      <c r="G30" s="42"/>
      <c r="H30" s="42"/>
    </row>
    <row r="31" spans="1:8" ht="15">
      <c r="A31" s="13" t="s">
        <v>72</v>
      </c>
      <c r="B31" s="36">
        <f>'Schedule 3 - Capex by Vote'!B24</f>
        <v>31365049.92</v>
      </c>
      <c r="C31" s="78">
        <f>'Schedule 3 - Capex by Vote'!C24</f>
        <v>24737000</v>
      </c>
      <c r="D31" s="36">
        <f>'Schedule 3 - Capex by Vote'!D24</f>
        <v>25997383</v>
      </c>
      <c r="E31" s="36">
        <f>'Schedule 3 - Capex by Vote'!E24</f>
        <v>20026947</v>
      </c>
      <c r="F31" s="85">
        <f>'Schedule 3 - Capex by Vote'!F24</f>
        <v>29305000</v>
      </c>
      <c r="G31" s="85">
        <f>'Schedule 3 - Capex by Vote'!G24</f>
        <v>7520000</v>
      </c>
      <c r="H31" s="85">
        <f>'Schedule 3 - Capex by Vote'!H24</f>
        <v>5530000</v>
      </c>
    </row>
    <row r="32" spans="1:8" ht="12.75">
      <c r="A32" s="20"/>
      <c r="B32" s="45"/>
      <c r="C32" s="45"/>
      <c r="D32" s="45"/>
      <c r="E32" s="45"/>
      <c r="F32" s="45"/>
      <c r="G32" s="46"/>
      <c r="H32" s="46"/>
    </row>
    <row r="33" ht="12">
      <c r="A33" s="72" t="s">
        <v>40</v>
      </c>
    </row>
    <row r="34" ht="12">
      <c r="A34" s="73" t="s">
        <v>228</v>
      </c>
    </row>
    <row r="35" ht="12">
      <c r="A35" s="73" t="s">
        <v>229</v>
      </c>
    </row>
    <row r="36" ht="12">
      <c r="A36" s="73" t="s">
        <v>230</v>
      </c>
    </row>
    <row r="37" ht="12">
      <c r="A37" s="73" t="s">
        <v>231</v>
      </c>
    </row>
    <row r="38" ht="12">
      <c r="A38" s="73" t="s">
        <v>232</v>
      </c>
    </row>
    <row r="39" ht="12">
      <c r="A39" s="73" t="s">
        <v>235</v>
      </c>
    </row>
    <row r="40" ht="12">
      <c r="A40" s="73" t="s">
        <v>234</v>
      </c>
    </row>
    <row r="42" ht="12">
      <c r="A42" s="72" t="s">
        <v>36</v>
      </c>
    </row>
    <row r="43" ht="12">
      <c r="A43" s="73" t="s">
        <v>73</v>
      </c>
    </row>
    <row r="44" ht="12">
      <c r="A44" s="73" t="s">
        <v>70</v>
      </c>
    </row>
    <row r="45" ht="12">
      <c r="A45" t="s">
        <v>71</v>
      </c>
    </row>
    <row r="46" ht="12">
      <c r="A46" t="s">
        <v>88</v>
      </c>
    </row>
  </sheetData>
  <sheetProtection/>
  <printOptions/>
  <pageMargins left="0.44" right="0.34" top="0.8" bottom="0.8" header="0.5" footer="0.5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6.00390625" style="0" bestFit="1" customWidth="1"/>
    <col min="2" max="6" width="14.7109375" style="0" customWidth="1"/>
  </cols>
  <sheetData>
    <row r="1" spans="1:5" ht="18">
      <c r="A1" s="7"/>
      <c r="B1" s="87" t="s">
        <v>215</v>
      </c>
      <c r="C1" s="7"/>
      <c r="D1" s="7"/>
      <c r="E1" s="7"/>
    </row>
    <row r="2" spans="1:5" ht="18">
      <c r="A2" s="7"/>
      <c r="B2" s="88"/>
      <c r="C2" s="7"/>
      <c r="D2" s="7"/>
      <c r="E2" s="7"/>
    </row>
    <row r="3" spans="1:6" ht="18">
      <c r="A3" s="395" t="s">
        <v>108</v>
      </c>
      <c r="B3" s="396"/>
      <c r="C3" s="396"/>
      <c r="D3" s="396"/>
      <c r="E3" s="396"/>
      <c r="F3" s="396"/>
    </row>
    <row r="4" spans="1:2" ht="18">
      <c r="A4" s="7"/>
      <c r="B4" s="87"/>
    </row>
    <row r="5" spans="1:2" ht="18">
      <c r="A5" s="89"/>
      <c r="B5" s="90"/>
    </row>
    <row r="6" spans="1:6" ht="12.75">
      <c r="A6" s="9" t="s">
        <v>103</v>
      </c>
      <c r="B6" s="91" t="s">
        <v>109</v>
      </c>
      <c r="C6" s="1" t="s">
        <v>110</v>
      </c>
      <c r="D6" s="1" t="s">
        <v>111</v>
      </c>
      <c r="E6" s="1" t="s">
        <v>112</v>
      </c>
      <c r="F6" s="1" t="s">
        <v>113</v>
      </c>
    </row>
    <row r="7" spans="1:6" ht="12.75">
      <c r="A7" s="92"/>
      <c r="B7" s="91"/>
      <c r="C7" s="9" t="s">
        <v>114</v>
      </c>
      <c r="D7" s="9"/>
      <c r="E7" s="9" t="s">
        <v>115</v>
      </c>
      <c r="F7" s="9" t="s">
        <v>116</v>
      </c>
    </row>
    <row r="8" spans="1:6" ht="12.75">
      <c r="A8" s="2" t="s">
        <v>108</v>
      </c>
      <c r="B8" s="2" t="s">
        <v>117</v>
      </c>
      <c r="C8" s="93" t="s">
        <v>117</v>
      </c>
      <c r="D8" s="93" t="s">
        <v>117</v>
      </c>
      <c r="E8" s="93" t="s">
        <v>117</v>
      </c>
      <c r="F8" s="93" t="s">
        <v>117</v>
      </c>
    </row>
    <row r="9" spans="1:6" ht="12.75">
      <c r="A9" s="1"/>
      <c r="B9" s="91"/>
      <c r="C9" s="9"/>
      <c r="D9" s="9"/>
      <c r="E9" s="9"/>
      <c r="F9" s="9"/>
    </row>
    <row r="10" spans="1:6" ht="12.75">
      <c r="A10" s="94" t="s">
        <v>118</v>
      </c>
      <c r="B10" s="95"/>
      <c r="C10" s="95"/>
      <c r="D10" s="95"/>
      <c r="E10" s="95"/>
      <c r="F10" s="95"/>
    </row>
    <row r="11" spans="1:6" ht="12">
      <c r="A11" s="5"/>
      <c r="B11" s="5"/>
      <c r="C11" s="5"/>
      <c r="D11" s="5"/>
      <c r="E11" s="5"/>
      <c r="F11" s="5"/>
    </row>
    <row r="12" spans="1:6" ht="12">
      <c r="A12" s="5" t="s">
        <v>119</v>
      </c>
      <c r="B12" s="96">
        <v>391450</v>
      </c>
      <c r="C12" s="96">
        <v>82477.5</v>
      </c>
      <c r="D12" s="96">
        <v>136126.5</v>
      </c>
      <c r="E12" s="193">
        <v>0</v>
      </c>
      <c r="F12" s="96">
        <v>610054</v>
      </c>
    </row>
    <row r="13" spans="1:6" ht="12">
      <c r="A13" s="5" t="s">
        <v>120</v>
      </c>
      <c r="B13" s="96">
        <v>329700</v>
      </c>
      <c r="C13" s="96">
        <v>49455</v>
      </c>
      <c r="D13" s="96">
        <v>112429.20000000001</v>
      </c>
      <c r="E13" s="193">
        <v>0</v>
      </c>
      <c r="F13" s="96">
        <v>491584.2</v>
      </c>
    </row>
    <row r="14" spans="1:6" ht="12">
      <c r="A14" s="5" t="s">
        <v>121</v>
      </c>
      <c r="B14" s="96">
        <v>173900</v>
      </c>
      <c r="C14" s="96">
        <v>26085</v>
      </c>
      <c r="D14" s="96">
        <v>73262.2</v>
      </c>
      <c r="E14" s="193">
        <v>0</v>
      </c>
      <c r="F14" s="96">
        <v>273247.2</v>
      </c>
    </row>
    <row r="15" spans="1:6" ht="12">
      <c r="A15" s="5" t="s">
        <v>122</v>
      </c>
      <c r="B15" s="96">
        <v>262200</v>
      </c>
      <c r="C15" s="96">
        <v>63090</v>
      </c>
      <c r="D15" s="96">
        <v>136641.02500000002</v>
      </c>
      <c r="E15" s="193">
        <v>0</v>
      </c>
      <c r="F15" s="96">
        <v>461931.025</v>
      </c>
    </row>
    <row r="16" spans="1:6" ht="12">
      <c r="A16" s="5" t="s">
        <v>217</v>
      </c>
      <c r="B16" s="96">
        <v>586170</v>
      </c>
      <c r="C16" s="96">
        <v>80425.5</v>
      </c>
      <c r="D16" s="96">
        <v>232886.17500000002</v>
      </c>
      <c r="E16" s="193">
        <v>0</v>
      </c>
      <c r="F16" s="96">
        <v>899481.675</v>
      </c>
    </row>
    <row r="17" spans="1:8" ht="12">
      <c r="A17" s="5" t="s">
        <v>330</v>
      </c>
      <c r="B17" s="97">
        <v>1008398</v>
      </c>
      <c r="C17" s="96">
        <v>111828</v>
      </c>
      <c r="D17" s="96">
        <v>387884.17500000005</v>
      </c>
      <c r="E17" s="193">
        <v>0</v>
      </c>
      <c r="F17" s="96">
        <v>1508110.175</v>
      </c>
      <c r="H17" s="99" t="s">
        <v>103</v>
      </c>
    </row>
    <row r="18" spans="1:8" ht="12">
      <c r="A18" s="5"/>
      <c r="B18" s="97" t="s">
        <v>103</v>
      </c>
      <c r="C18" s="96" t="s">
        <v>103</v>
      </c>
      <c r="D18" s="96" t="s">
        <v>103</v>
      </c>
      <c r="E18" s="193"/>
      <c r="F18" s="96"/>
      <c r="H18" s="100" t="s">
        <v>103</v>
      </c>
    </row>
    <row r="19" spans="1:6" ht="12.75" thickBot="1">
      <c r="A19" s="5"/>
      <c r="B19" s="101">
        <f>SUM(B12:B18)</f>
        <v>2751818</v>
      </c>
      <c r="C19" s="101">
        <f>SUM(C12:C18)</f>
        <v>413361</v>
      </c>
      <c r="D19" s="101">
        <f>SUM(D12:D18)</f>
        <v>1079229.2750000001</v>
      </c>
      <c r="E19" s="196">
        <f>SUM(E12:E18)</f>
        <v>0</v>
      </c>
      <c r="F19" s="101">
        <f>SUM(F12:F18)</f>
        <v>4244408.274999999</v>
      </c>
    </row>
    <row r="20" spans="1:6" ht="13.5" thickTop="1">
      <c r="A20" s="94" t="s">
        <v>123</v>
      </c>
      <c r="B20" s="96"/>
      <c r="C20" s="96"/>
      <c r="D20" s="96"/>
      <c r="E20" s="193"/>
      <c r="F20" s="96"/>
    </row>
    <row r="21" spans="1:6" ht="12">
      <c r="A21" s="5"/>
      <c r="B21" s="96"/>
      <c r="C21" s="96"/>
      <c r="D21" s="96"/>
      <c r="E21" s="96"/>
      <c r="F21" s="96"/>
    </row>
    <row r="22" spans="1:6" ht="12">
      <c r="A22" s="5" t="s">
        <v>91</v>
      </c>
      <c r="B22" s="96">
        <v>741770.9000000001</v>
      </c>
      <c r="C22" s="96">
        <v>1600</v>
      </c>
      <c r="D22" s="96">
        <v>185842.80000000002</v>
      </c>
      <c r="E22" s="344">
        <v>111505.68000000001</v>
      </c>
      <c r="F22" s="96">
        <v>1040719.3800000002</v>
      </c>
    </row>
    <row r="23" spans="1:6" ht="12">
      <c r="A23" s="5" t="s">
        <v>325</v>
      </c>
      <c r="B23" s="96">
        <v>636300.2000000001</v>
      </c>
      <c r="C23" s="96">
        <v>1600</v>
      </c>
      <c r="D23" s="96">
        <v>187100</v>
      </c>
      <c r="E23" s="96">
        <v>99000.00000000001</v>
      </c>
      <c r="F23" s="96">
        <v>924000.2000000001</v>
      </c>
    </row>
    <row r="24" spans="1:6" ht="12">
      <c r="A24" s="5" t="s">
        <v>326</v>
      </c>
      <c r="B24" s="96">
        <v>527304.6000000001</v>
      </c>
      <c r="C24" s="96">
        <v>146729.51200000002</v>
      </c>
      <c r="D24" s="96">
        <v>147959.90000000002</v>
      </c>
      <c r="E24" s="344">
        <v>98639.64000000001</v>
      </c>
      <c r="F24" s="96">
        <v>920633.6520000001</v>
      </c>
    </row>
    <row r="25" spans="1:6" ht="12">
      <c r="A25" s="5" t="s">
        <v>327</v>
      </c>
      <c r="B25" s="96">
        <v>444259.50833333336</v>
      </c>
      <c r="C25" s="96">
        <v>91818.854</v>
      </c>
      <c r="D25" s="96">
        <v>178701.6</v>
      </c>
      <c r="E25" s="96">
        <v>71478</v>
      </c>
      <c r="F25" s="96">
        <v>786257.9623333333</v>
      </c>
    </row>
    <row r="26" spans="1:6" ht="12">
      <c r="A26" s="5" t="s">
        <v>328</v>
      </c>
      <c r="B26" s="96">
        <v>402703.8166666667</v>
      </c>
      <c r="C26" s="96">
        <v>111290.15200000002</v>
      </c>
      <c r="D26" s="96">
        <v>128502.00000000001</v>
      </c>
      <c r="E26" s="193">
        <v>0</v>
      </c>
      <c r="F26" s="96">
        <v>642495.9686666668</v>
      </c>
    </row>
    <row r="27" spans="1:6" ht="12">
      <c r="A27" s="5" t="s">
        <v>124</v>
      </c>
      <c r="B27" s="96">
        <v>428595.80833333335</v>
      </c>
      <c r="C27" s="96">
        <v>102126.118</v>
      </c>
      <c r="D27" s="96">
        <v>176909.7</v>
      </c>
      <c r="E27" s="344">
        <v>70763.22000000002</v>
      </c>
      <c r="F27" s="96">
        <v>778394.8463333333</v>
      </c>
    </row>
    <row r="28" spans="1:6" ht="12">
      <c r="A28" s="5" t="s">
        <v>329</v>
      </c>
      <c r="B28" s="96">
        <v>382377.60000000003</v>
      </c>
      <c r="C28" s="96">
        <v>109461.47200000001</v>
      </c>
      <c r="D28" s="96">
        <v>114292.50000000001</v>
      </c>
      <c r="E28" s="193">
        <v>0</v>
      </c>
      <c r="F28" s="96">
        <v>606131.572</v>
      </c>
    </row>
    <row r="29" spans="1:6" ht="12">
      <c r="A29" s="5"/>
      <c r="B29" s="96"/>
      <c r="C29" s="96"/>
      <c r="D29" s="96"/>
      <c r="E29" s="96"/>
      <c r="F29" s="96"/>
    </row>
    <row r="30" spans="1:6" ht="12.75" thickBot="1">
      <c r="A30" s="5"/>
      <c r="B30" s="101">
        <f>SUM(B22:B29)</f>
        <v>3563312.433333334</v>
      </c>
      <c r="C30" s="101">
        <f>SUM(C22:C29)</f>
        <v>564626.108</v>
      </c>
      <c r="D30" s="101">
        <f>SUM(D22:D29)</f>
        <v>1119308.5</v>
      </c>
      <c r="E30" s="101">
        <f>SUM(E22:E29)</f>
        <v>451386.5400000001</v>
      </c>
      <c r="F30" s="101">
        <f>SUM(F22:F29)</f>
        <v>5698633.581333334</v>
      </c>
    </row>
    <row r="31" spans="1:6" ht="12.75" thickTop="1">
      <c r="A31" s="5"/>
      <c r="B31" s="96"/>
      <c r="C31" s="96"/>
      <c r="D31" s="96"/>
      <c r="E31" s="96"/>
      <c r="F31" s="96"/>
    </row>
    <row r="32" spans="1:6" ht="12.75">
      <c r="A32" s="13" t="s">
        <v>125</v>
      </c>
      <c r="B32" s="102">
        <f>B19+B30</f>
        <v>6315130.433333334</v>
      </c>
      <c r="C32" s="102">
        <f>C19+C30</f>
        <v>977987.108</v>
      </c>
      <c r="D32" s="102">
        <f>D19+D30</f>
        <v>2198537.7750000004</v>
      </c>
      <c r="E32" s="102">
        <f>E19+E30</f>
        <v>451386.5400000001</v>
      </c>
      <c r="F32" s="102">
        <f>F19+F30</f>
        <v>9943041.856333334</v>
      </c>
    </row>
  </sheetData>
  <sheetProtection/>
  <mergeCells count="1">
    <mergeCell ref="A3:F3"/>
  </mergeCells>
  <printOptions/>
  <pageMargins left="0.59" right="0.35433070866141736" top="0.7874015748031497" bottom="0.7874015748031497" header="0.5118110236220472" footer="0.5118110236220472"/>
  <pageSetup horizontalDpi="200" verticalDpi="2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F27" sqref="F27"/>
    </sheetView>
  </sheetViews>
  <sheetFormatPr defaultColWidth="9.140625" defaultRowHeight="12.75"/>
  <cols>
    <col min="1" max="1" width="44.7109375" style="0" customWidth="1"/>
    <col min="2" max="2" width="16.28125" style="0" customWidth="1"/>
    <col min="3" max="5" width="16.00390625" style="0" customWidth="1"/>
    <col min="6" max="6" width="16.7109375" style="0" customWidth="1"/>
    <col min="7" max="7" width="18.7109375" style="0" bestFit="1" customWidth="1"/>
    <col min="8" max="8" width="19.140625" style="0" bestFit="1" customWidth="1"/>
  </cols>
  <sheetData>
    <row r="1" spans="1:8" ht="18">
      <c r="A1" s="395" t="s">
        <v>216</v>
      </c>
      <c r="B1" s="396"/>
      <c r="C1" s="396"/>
      <c r="D1" s="396"/>
      <c r="E1" s="396"/>
      <c r="F1" s="396"/>
      <c r="G1" s="396"/>
      <c r="H1" s="396"/>
    </row>
    <row r="2" spans="2:4" ht="18">
      <c r="B2" s="104"/>
      <c r="C2" s="105"/>
      <c r="D2" s="104"/>
    </row>
    <row r="3" spans="1:8" ht="18">
      <c r="A3" s="397" t="s">
        <v>126</v>
      </c>
      <c r="B3" s="396"/>
      <c r="C3" s="396"/>
      <c r="D3" s="396"/>
      <c r="E3" s="396"/>
      <c r="F3" s="396"/>
      <c r="G3" s="396"/>
      <c r="H3" s="396"/>
    </row>
    <row r="5" spans="1:8" ht="12.75">
      <c r="A5" s="64"/>
      <c r="B5" s="1" t="s">
        <v>37</v>
      </c>
      <c r="C5" s="21" t="s">
        <v>1</v>
      </c>
      <c r="D5" s="68"/>
      <c r="E5" s="69"/>
      <c r="F5" s="65" t="s">
        <v>81</v>
      </c>
      <c r="G5" s="66"/>
      <c r="H5" s="67"/>
    </row>
    <row r="6" spans="1:8" ht="12.75">
      <c r="A6" s="9"/>
      <c r="B6" s="71" t="s">
        <v>17</v>
      </c>
      <c r="C6" s="70" t="s">
        <v>18</v>
      </c>
      <c r="D6" s="60"/>
      <c r="E6" s="61"/>
      <c r="F6" s="107" t="s">
        <v>5</v>
      </c>
      <c r="G6" s="9" t="s">
        <v>2</v>
      </c>
      <c r="H6" s="9" t="s">
        <v>3</v>
      </c>
    </row>
    <row r="7" spans="1:8" ht="12.75">
      <c r="A7" s="3"/>
      <c r="B7" s="25"/>
      <c r="C7" s="27"/>
      <c r="D7" s="26"/>
      <c r="E7" s="22"/>
      <c r="F7" s="108" t="s">
        <v>89</v>
      </c>
      <c r="G7" s="28" t="s">
        <v>185</v>
      </c>
      <c r="H7" s="28" t="s">
        <v>227</v>
      </c>
    </row>
    <row r="8" spans="1:8" ht="25.5">
      <c r="A8" s="9"/>
      <c r="B8" s="198" t="s">
        <v>38</v>
      </c>
      <c r="C8" s="179" t="s">
        <v>39</v>
      </c>
      <c r="D8" s="179" t="s">
        <v>7</v>
      </c>
      <c r="E8" s="179" t="s">
        <v>8</v>
      </c>
      <c r="F8" s="199" t="s">
        <v>4</v>
      </c>
      <c r="G8" s="179" t="s">
        <v>4</v>
      </c>
      <c r="H8" s="179" t="s">
        <v>4</v>
      </c>
    </row>
    <row r="9" spans="1:8" ht="12.75">
      <c r="A9" s="3"/>
      <c r="B9" s="11" t="s">
        <v>186</v>
      </c>
      <c r="C9" s="11" t="s">
        <v>186</v>
      </c>
      <c r="D9" s="11" t="s">
        <v>186</v>
      </c>
      <c r="E9" s="11" t="s">
        <v>186</v>
      </c>
      <c r="F9" s="197" t="s">
        <v>186</v>
      </c>
      <c r="G9" s="11" t="s">
        <v>186</v>
      </c>
      <c r="H9" s="11" t="s">
        <v>186</v>
      </c>
    </row>
    <row r="10" spans="1:8" ht="12.75">
      <c r="A10" s="4"/>
      <c r="B10" s="24" t="s">
        <v>9</v>
      </c>
      <c r="C10" s="2" t="s">
        <v>10</v>
      </c>
      <c r="D10" s="2" t="s">
        <v>11</v>
      </c>
      <c r="E10" s="2" t="s">
        <v>12</v>
      </c>
      <c r="F10" s="109" t="s">
        <v>13</v>
      </c>
      <c r="G10" s="23" t="s">
        <v>14</v>
      </c>
      <c r="H10" s="23" t="s">
        <v>15</v>
      </c>
    </row>
    <row r="11" spans="1:8" ht="12.75">
      <c r="A11" s="110"/>
      <c r="B11" s="64"/>
      <c r="C11" s="64"/>
      <c r="D11" s="64"/>
      <c r="E11" s="64"/>
      <c r="F11" s="111"/>
      <c r="G11" s="64"/>
      <c r="H11" s="64"/>
    </row>
    <row r="12" spans="1:8" ht="12">
      <c r="A12" s="18" t="s">
        <v>127</v>
      </c>
      <c r="B12" s="5"/>
      <c r="C12" s="5"/>
      <c r="D12" s="5"/>
      <c r="E12" s="5"/>
      <c r="F12" s="112"/>
      <c r="G12" s="5"/>
      <c r="H12" s="5"/>
    </row>
    <row r="13" spans="1:8" ht="12" customHeight="1">
      <c r="A13" s="113" t="s">
        <v>128</v>
      </c>
      <c r="B13" s="119">
        <v>2055063.39</v>
      </c>
      <c r="C13" s="98">
        <v>2439465</v>
      </c>
      <c r="D13" s="98">
        <v>2439465</v>
      </c>
      <c r="E13" s="98">
        <v>2314000</v>
      </c>
      <c r="F13" s="114">
        <v>2751818</v>
      </c>
      <c r="G13" s="98">
        <v>3026999.8000000003</v>
      </c>
      <c r="H13" s="98">
        <v>3329699.7800000007</v>
      </c>
    </row>
    <row r="14" spans="1:8" ht="12">
      <c r="A14" s="113" t="s">
        <v>129</v>
      </c>
      <c r="B14" s="119">
        <v>275977.51000000007</v>
      </c>
      <c r="C14" s="98">
        <v>324313</v>
      </c>
      <c r="D14" s="98">
        <v>324313</v>
      </c>
      <c r="E14" s="98">
        <v>310500</v>
      </c>
      <c r="F14" s="114">
        <v>365841</v>
      </c>
      <c r="G14" s="98">
        <v>402425.10000000003</v>
      </c>
      <c r="H14" s="98">
        <v>442667.6100000001</v>
      </c>
    </row>
    <row r="15" spans="1:8" ht="12">
      <c r="A15" s="113" t="s">
        <v>130</v>
      </c>
      <c r="B15" s="119">
        <v>26760</v>
      </c>
      <c r="C15" s="98">
        <v>43200</v>
      </c>
      <c r="D15" s="98">
        <v>43200</v>
      </c>
      <c r="E15" s="98">
        <v>35000</v>
      </c>
      <c r="F15" s="114">
        <v>47520.00000000001</v>
      </c>
      <c r="G15" s="98">
        <v>52272.000000000015</v>
      </c>
      <c r="H15" s="98">
        <v>57499.20000000002</v>
      </c>
    </row>
    <row r="16" spans="1:8" ht="12">
      <c r="A16" s="113" t="s">
        <v>331</v>
      </c>
      <c r="B16" s="119">
        <v>5001.74</v>
      </c>
      <c r="C16" s="98">
        <v>6400</v>
      </c>
      <c r="D16" s="98">
        <v>6400</v>
      </c>
      <c r="E16" s="98">
        <v>4500</v>
      </c>
      <c r="F16" s="114">
        <v>6400</v>
      </c>
      <c r="G16" s="98">
        <v>7040.000000000001</v>
      </c>
      <c r="H16" s="98">
        <v>7744.000000000002</v>
      </c>
    </row>
    <row r="17" spans="1:8" ht="12">
      <c r="A17" s="113" t="s">
        <v>111</v>
      </c>
      <c r="B17" s="119">
        <v>810676.03</v>
      </c>
      <c r="C17" s="98">
        <v>957113</v>
      </c>
      <c r="D17" s="98">
        <v>957113</v>
      </c>
      <c r="E17" s="98">
        <v>914700</v>
      </c>
      <c r="F17" s="114">
        <v>1079229.2750000001</v>
      </c>
      <c r="G17" s="98">
        <v>1187152.2025000004</v>
      </c>
      <c r="H17" s="98">
        <v>1305867.4227500006</v>
      </c>
    </row>
    <row r="18" spans="1:10" s="20" customFormat="1" ht="12.75">
      <c r="A18" s="115" t="s">
        <v>131</v>
      </c>
      <c r="B18" s="116">
        <f aca="true" t="shared" si="0" ref="B18:G18">SUM(B13:B17)</f>
        <v>3173478.67</v>
      </c>
      <c r="C18" s="116">
        <f t="shared" si="0"/>
        <v>3770491</v>
      </c>
      <c r="D18" s="116">
        <f>SUM(D13:D17)</f>
        <v>3770491</v>
      </c>
      <c r="E18" s="116">
        <f t="shared" si="0"/>
        <v>3578700</v>
      </c>
      <c r="F18" s="117">
        <f t="shared" si="0"/>
        <v>4250808.275</v>
      </c>
      <c r="G18" s="116">
        <f t="shared" si="0"/>
        <v>4675889.102500001</v>
      </c>
      <c r="H18" s="116">
        <f>SUM(H13:H17)</f>
        <v>5143478.012750002</v>
      </c>
      <c r="J18" s="73" t="s">
        <v>340</v>
      </c>
    </row>
    <row r="19" spans="1:8" ht="12">
      <c r="A19" s="113"/>
      <c r="B19" s="119"/>
      <c r="C19" s="98"/>
      <c r="D19" s="98"/>
      <c r="E19" s="98"/>
      <c r="F19" s="114"/>
      <c r="G19" s="98"/>
      <c r="H19" s="98"/>
    </row>
    <row r="20" spans="1:8" ht="12">
      <c r="A20" s="118" t="s">
        <v>132</v>
      </c>
      <c r="B20" s="98"/>
      <c r="C20" s="98"/>
      <c r="D20" s="98"/>
      <c r="E20" s="98"/>
      <c r="F20" s="114"/>
      <c r="G20" s="98"/>
      <c r="H20" s="98"/>
    </row>
    <row r="21" spans="1:10" ht="12">
      <c r="A21" s="113" t="s">
        <v>128</v>
      </c>
      <c r="B21" s="98">
        <v>2446645.8499999996</v>
      </c>
      <c r="C21" s="119">
        <v>3354217</v>
      </c>
      <c r="D21" s="119">
        <v>3354217</v>
      </c>
      <c r="E21" s="119">
        <v>2714906.9799999995</v>
      </c>
      <c r="F21" s="114">
        <v>3563312.433333334</v>
      </c>
      <c r="G21" s="98">
        <v>3919643.6766666677</v>
      </c>
      <c r="H21" s="98">
        <v>4311608.044333335</v>
      </c>
      <c r="J21" s="73" t="s">
        <v>334</v>
      </c>
    </row>
    <row r="22" spans="1:10" ht="12">
      <c r="A22" s="113" t="s">
        <v>129</v>
      </c>
      <c r="B22" s="119">
        <v>324293.63</v>
      </c>
      <c r="C22" s="119">
        <v>319374</v>
      </c>
      <c r="D22" s="119">
        <v>319374</v>
      </c>
      <c r="E22" s="119">
        <v>349031.25</v>
      </c>
      <c r="F22" s="114">
        <v>459166.70800000004</v>
      </c>
      <c r="G22" s="98">
        <v>505083.37880000006</v>
      </c>
      <c r="H22" s="98">
        <v>555591.7166800001</v>
      </c>
      <c r="J22" s="73" t="s">
        <v>335</v>
      </c>
    </row>
    <row r="23" spans="1:10" ht="12">
      <c r="A23" s="113" t="s">
        <v>130</v>
      </c>
      <c r="B23" s="119">
        <v>69880.17</v>
      </c>
      <c r="C23" s="119">
        <v>128758.34400000001</v>
      </c>
      <c r="D23" s="119">
        <v>128758.34400000001</v>
      </c>
      <c r="E23" s="119">
        <v>65229.60000000001</v>
      </c>
      <c r="F23" s="114">
        <v>94259.40000000001</v>
      </c>
      <c r="G23" s="98">
        <v>103685.34000000001</v>
      </c>
      <c r="H23" s="98">
        <v>114053.87400000003</v>
      </c>
      <c r="J23" s="73" t="s">
        <v>336</v>
      </c>
    </row>
    <row r="24" spans="1:10" ht="12">
      <c r="A24" s="113" t="s">
        <v>331</v>
      </c>
      <c r="B24" s="119">
        <v>8970.21</v>
      </c>
      <c r="C24" s="119">
        <v>11200</v>
      </c>
      <c r="D24" s="119">
        <v>11200</v>
      </c>
      <c r="E24" s="119">
        <v>9233.72</v>
      </c>
      <c r="F24" s="114">
        <v>11200</v>
      </c>
      <c r="G24" s="98">
        <v>12320.000000000002</v>
      </c>
      <c r="H24" s="98">
        <v>13552.000000000004</v>
      </c>
      <c r="J24" s="73" t="s">
        <v>331</v>
      </c>
    </row>
    <row r="25" spans="1:10" ht="12">
      <c r="A25" s="113" t="s">
        <v>111</v>
      </c>
      <c r="B25" s="119">
        <v>684672.7800000001</v>
      </c>
      <c r="C25" s="119">
        <v>855155</v>
      </c>
      <c r="D25" s="119">
        <v>855155</v>
      </c>
      <c r="E25" s="119">
        <v>823520.63</v>
      </c>
      <c r="F25" s="114">
        <v>1209308.5000000002</v>
      </c>
      <c r="G25" s="98">
        <v>1330239.3500000003</v>
      </c>
      <c r="H25" s="98">
        <v>1463263.2850000004</v>
      </c>
      <c r="J25" s="73" t="s">
        <v>337</v>
      </c>
    </row>
    <row r="26" spans="1:8" ht="12">
      <c r="A26" s="113" t="s">
        <v>133</v>
      </c>
      <c r="B26" s="344">
        <v>-268601</v>
      </c>
      <c r="C26" s="119">
        <v>340861.1673600001</v>
      </c>
      <c r="D26" s="393">
        <v>249887</v>
      </c>
      <c r="E26" s="369">
        <v>0</v>
      </c>
      <c r="F26" s="114">
        <v>451386.5400000001</v>
      </c>
      <c r="G26" s="98">
        <v>496525.19400000013</v>
      </c>
      <c r="H26" s="98">
        <v>546177.7134000002</v>
      </c>
    </row>
    <row r="27" spans="1:8" s="20" customFormat="1" ht="12.75">
      <c r="A27" s="115" t="s">
        <v>134</v>
      </c>
      <c r="B27" s="116">
        <f>SUM(B21:B26)</f>
        <v>3265861.6399999997</v>
      </c>
      <c r="C27" s="120">
        <f aca="true" t="shared" si="1" ref="C27:H27">SUM(C21:C26)</f>
        <v>5009565.511360001</v>
      </c>
      <c r="D27" s="120">
        <f>SUM(D21:D26)</f>
        <v>4918591.3440000005</v>
      </c>
      <c r="E27" s="116">
        <f t="shared" si="1"/>
        <v>3961922.1799999997</v>
      </c>
      <c r="F27" s="117">
        <f t="shared" si="1"/>
        <v>5788633.581333335</v>
      </c>
      <c r="G27" s="116">
        <f t="shared" si="1"/>
        <v>6367496.939466668</v>
      </c>
      <c r="H27" s="116">
        <f t="shared" si="1"/>
        <v>7004246.633413335</v>
      </c>
    </row>
    <row r="28" spans="1:8" ht="12">
      <c r="A28" s="113"/>
      <c r="B28" s="98"/>
      <c r="C28" s="119"/>
      <c r="D28" s="119"/>
      <c r="E28" s="98"/>
      <c r="F28" s="114"/>
      <c r="G28" s="98"/>
      <c r="H28" s="98"/>
    </row>
    <row r="29" spans="1:8" ht="12">
      <c r="A29" s="118" t="s">
        <v>135</v>
      </c>
      <c r="B29" s="98"/>
      <c r="C29" s="119"/>
      <c r="D29" s="119"/>
      <c r="E29" s="98"/>
      <c r="F29" s="114"/>
      <c r="G29" s="98"/>
      <c r="H29" s="98"/>
    </row>
    <row r="30" spans="1:10" ht="12">
      <c r="A30" s="113" t="s">
        <v>128</v>
      </c>
      <c r="B30" s="98">
        <v>13763656.790000001</v>
      </c>
      <c r="C30" s="119">
        <v>19351618</v>
      </c>
      <c r="D30" s="393">
        <v>17845317</v>
      </c>
      <c r="E30" s="119">
        <v>16415093.02</v>
      </c>
      <c r="F30" s="114">
        <v>22938845.711666673</v>
      </c>
      <c r="G30" s="98">
        <v>25232730.282833338</v>
      </c>
      <c r="H30" s="98">
        <v>27756003.311116677</v>
      </c>
      <c r="J30" s="73" t="s">
        <v>338</v>
      </c>
    </row>
    <row r="31" spans="1:10" ht="12">
      <c r="A31" s="113" t="s">
        <v>129</v>
      </c>
      <c r="B31" s="351">
        <v>2474549.6100000003</v>
      </c>
      <c r="C31" s="119">
        <v>4290014</v>
      </c>
      <c r="D31" s="393">
        <v>3758535</v>
      </c>
      <c r="E31" s="119">
        <v>3048518.75</v>
      </c>
      <c r="F31" s="114">
        <v>4645501.071200001</v>
      </c>
      <c r="G31" s="98">
        <v>5110051.178320001</v>
      </c>
      <c r="H31" s="98">
        <v>5621056.296152001</v>
      </c>
      <c r="J31" s="73" t="s">
        <v>333</v>
      </c>
    </row>
    <row r="32" spans="1:10" ht="12">
      <c r="A32" s="113" t="s">
        <v>130</v>
      </c>
      <c r="B32" s="351">
        <v>1187947.6300000001</v>
      </c>
      <c r="C32" s="119">
        <v>1301787</v>
      </c>
      <c r="D32" s="393">
        <v>1591788</v>
      </c>
      <c r="E32" s="119">
        <v>1537770.4</v>
      </c>
      <c r="F32" s="114">
        <v>1946559.7040000001</v>
      </c>
      <c r="G32" s="98">
        <v>2141215.6744</v>
      </c>
      <c r="H32" s="98">
        <v>2355337.2418400003</v>
      </c>
      <c r="J32" s="73" t="s">
        <v>332</v>
      </c>
    </row>
    <row r="33" spans="1:10" ht="12">
      <c r="A33" s="113" t="s">
        <v>331</v>
      </c>
      <c r="B33" s="351">
        <v>112859.19</v>
      </c>
      <c r="C33" s="393">
        <v>148519</v>
      </c>
      <c r="D33" s="393">
        <v>147519</v>
      </c>
      <c r="E33" s="119">
        <v>129866.28</v>
      </c>
      <c r="F33" s="114">
        <v>171549.43333333335</v>
      </c>
      <c r="G33" s="98">
        <v>188704.37666666665</v>
      </c>
      <c r="H33" s="98">
        <v>207574.8143333334</v>
      </c>
      <c r="J33" s="73" t="s">
        <v>331</v>
      </c>
    </row>
    <row r="34" spans="1:10" ht="12">
      <c r="A34" s="113" t="s">
        <v>111</v>
      </c>
      <c r="B34" s="119">
        <v>1573255.2199999997</v>
      </c>
      <c r="C34" s="119">
        <v>3055187</v>
      </c>
      <c r="D34" s="393">
        <v>2389188</v>
      </c>
      <c r="E34" s="119">
        <v>2216779.37</v>
      </c>
      <c r="F34" s="114">
        <v>3494624.7430769233</v>
      </c>
      <c r="G34" s="98">
        <v>3844087.217384615</v>
      </c>
      <c r="H34" s="98">
        <v>4228495.939123079</v>
      </c>
      <c r="J34" s="73" t="s">
        <v>339</v>
      </c>
    </row>
    <row r="35" spans="1:10" ht="12">
      <c r="A35" s="113" t="s">
        <v>136</v>
      </c>
      <c r="B35" s="98">
        <v>93227</v>
      </c>
      <c r="C35" s="119">
        <v>375478</v>
      </c>
      <c r="D35" s="393">
        <v>335477</v>
      </c>
      <c r="E35" s="119">
        <v>215000</v>
      </c>
      <c r="F35" s="173">
        <v>121314.56370000001</v>
      </c>
      <c r="G35" s="98">
        <v>133446.02007000003</v>
      </c>
      <c r="H35" s="98">
        <v>146790.62207700004</v>
      </c>
      <c r="J35" s="73" t="s">
        <v>136</v>
      </c>
    </row>
    <row r="36" spans="1:8" s="20" customFormat="1" ht="12.75">
      <c r="A36" s="115" t="s">
        <v>137</v>
      </c>
      <c r="B36" s="116">
        <f aca="true" t="shared" si="2" ref="B36:H36">SUM(B30:B35)</f>
        <v>19205495.44</v>
      </c>
      <c r="C36" s="116">
        <f t="shared" si="2"/>
        <v>28522603</v>
      </c>
      <c r="D36" s="116">
        <f t="shared" si="2"/>
        <v>26067824</v>
      </c>
      <c r="E36" s="116">
        <f t="shared" si="2"/>
        <v>23563027.82</v>
      </c>
      <c r="F36" s="117">
        <f t="shared" si="2"/>
        <v>33318395.226976935</v>
      </c>
      <c r="G36" s="116">
        <f t="shared" si="2"/>
        <v>36650234.74967462</v>
      </c>
      <c r="H36" s="116">
        <f t="shared" si="2"/>
        <v>40315258.22464209</v>
      </c>
    </row>
    <row r="37" spans="1:8" s="20" customFormat="1" ht="12.75">
      <c r="A37" s="200"/>
      <c r="B37" s="201"/>
      <c r="C37" s="201"/>
      <c r="D37" s="201"/>
      <c r="E37" s="201"/>
      <c r="F37" s="202"/>
      <c r="G37" s="201"/>
      <c r="H37" s="201"/>
    </row>
    <row r="38" spans="1:8" ht="12">
      <c r="A38" s="113"/>
      <c r="B38" s="98"/>
      <c r="C38" s="98"/>
      <c r="D38" s="98"/>
      <c r="E38" s="98"/>
      <c r="F38" s="114"/>
      <c r="G38" s="98"/>
      <c r="H38" s="98"/>
    </row>
    <row r="39" spans="1:8" s="20" customFormat="1" ht="12.75">
      <c r="A39" s="13" t="s">
        <v>138</v>
      </c>
      <c r="B39" s="116">
        <f aca="true" t="shared" si="3" ref="B39:H39">+B18+B27+B36</f>
        <v>25644835.75</v>
      </c>
      <c r="C39" s="116">
        <f t="shared" si="3"/>
        <v>37302659.511360005</v>
      </c>
      <c r="D39" s="116">
        <f t="shared" si="3"/>
        <v>34756906.344</v>
      </c>
      <c r="E39" s="116">
        <f t="shared" si="3"/>
        <v>31103650</v>
      </c>
      <c r="F39" s="117">
        <f t="shared" si="3"/>
        <v>43357837.08331027</v>
      </c>
      <c r="G39" s="116">
        <f t="shared" si="3"/>
        <v>47693620.79164129</v>
      </c>
      <c r="H39" s="116">
        <f t="shared" si="3"/>
        <v>52462982.87080543</v>
      </c>
    </row>
    <row r="40" spans="1:8" ht="12.75">
      <c r="A40" s="121"/>
      <c r="B40" s="7"/>
      <c r="C40" s="7"/>
      <c r="D40" s="7"/>
      <c r="E40" s="7"/>
      <c r="F40" s="122"/>
      <c r="G40" s="7"/>
      <c r="H40" s="7"/>
    </row>
    <row r="41" spans="1:8" ht="12">
      <c r="A41" s="72" t="s">
        <v>40</v>
      </c>
      <c r="G41" s="123" t="s">
        <v>103</v>
      </c>
      <c r="H41" s="123" t="s">
        <v>103</v>
      </c>
    </row>
    <row r="42" ht="12">
      <c r="A42" s="73" t="s">
        <v>228</v>
      </c>
    </row>
    <row r="43" ht="12">
      <c r="A43" s="73" t="s">
        <v>229</v>
      </c>
    </row>
    <row r="44" ht="12">
      <c r="A44" s="73" t="s">
        <v>230</v>
      </c>
    </row>
    <row r="45" ht="12">
      <c r="A45" s="73" t="s">
        <v>231</v>
      </c>
    </row>
    <row r="46" ht="12">
      <c r="A46" s="73" t="s">
        <v>232</v>
      </c>
    </row>
    <row r="47" ht="12">
      <c r="A47" s="73" t="s">
        <v>235</v>
      </c>
    </row>
    <row r="48" ht="12">
      <c r="A48" s="73" t="s">
        <v>234</v>
      </c>
    </row>
  </sheetData>
  <sheetProtection/>
  <mergeCells count="2">
    <mergeCell ref="A1:H1"/>
    <mergeCell ref="A3:H3"/>
  </mergeCells>
  <printOptions/>
  <pageMargins left="0.35433070866141736" right="0.35433070866141736" top="0.7874015748031497" bottom="0.5905511811023623" header="0.5118110236220472" footer="0.5118110236220472"/>
  <pageSetup horizontalDpi="200" verticalDpi="2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ndejager</cp:lastModifiedBy>
  <cp:lastPrinted>2009-06-30T16:10:45Z</cp:lastPrinted>
  <dcterms:created xsi:type="dcterms:W3CDTF">2004-07-21T10:47:10Z</dcterms:created>
  <dcterms:modified xsi:type="dcterms:W3CDTF">2010-03-16T13:12:50Z</dcterms:modified>
  <cp:category/>
  <cp:version/>
  <cp:contentType/>
  <cp:contentStatus/>
</cp:coreProperties>
</file>